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700" activeTab="0"/>
  </bookViews>
  <sheets>
    <sheet name="Start" sheetId="1" r:id="rId1"/>
    <sheet name="E-1" sheetId="2" r:id="rId2"/>
    <sheet name="E-2" sheetId="3" r:id="rId3"/>
    <sheet name="E-3" sheetId="4" r:id="rId4"/>
    <sheet name="E-4" sheetId="5" r:id="rId5"/>
    <sheet name="E-5" sheetId="6" r:id="rId6"/>
    <sheet name="E-6" sheetId="7" r:id="rId7"/>
    <sheet name="Chapter2_6" sheetId="8" r:id="rId8"/>
  </sheets>
  <definedNames/>
  <calcPr fullCalcOnLoad="1"/>
</workbook>
</file>

<file path=xl/sharedStrings.xml><?xml version="1.0" encoding="utf-8"?>
<sst xmlns="http://schemas.openxmlformats.org/spreadsheetml/2006/main" count="236" uniqueCount="184">
  <si>
    <t>Standard deviation</t>
  </si>
  <si>
    <t>Today's price</t>
  </si>
  <si>
    <t>Exercise E-1:   Probability distributions for oil price change in 30 days</t>
  </si>
  <si>
    <t>$ per barrel</t>
  </si>
  <si>
    <t>INPUTS</t>
  </si>
  <si>
    <t>Mean expected change</t>
  </si>
  <si>
    <t>Figure 2:  Cumulative probability distribution</t>
  </si>
  <si>
    <t>Cumulative distribution</t>
  </si>
  <si>
    <t>CALCULATED VALUES</t>
  </si>
  <si>
    <t>Density function</t>
  </si>
  <si>
    <t>Figure 1:   Normal probability density function</t>
  </si>
  <si>
    <t>Sub-question</t>
  </si>
  <si>
    <t>a</t>
  </si>
  <si>
    <t>b</t>
  </si>
  <si>
    <t>c</t>
  </si>
  <si>
    <t>d</t>
  </si>
  <si>
    <t>e</t>
  </si>
  <si>
    <t>Lower</t>
  </si>
  <si>
    <t>Upper</t>
  </si>
  <si>
    <t>z</t>
  </si>
  <si>
    <t>Cumul.distribution of z</t>
  </si>
  <si>
    <t>Area</t>
  </si>
  <si>
    <t>SOLUTIONS</t>
  </si>
  <si>
    <t>ò</t>
  </si>
  <si>
    <t>CALCULATION</t>
  </si>
  <si>
    <t xml:space="preserve"> (no upper limit)</t>
  </si>
  <si>
    <t>E-2:   Areas under the standard normal distribution curve</t>
  </si>
  <si>
    <r>
      <t xml:space="preserve">The Standard Normal Distribution is the distribution function which is normal, has a mean of 0 and has a standard deviation of 1.   As in all distribution density functions, the total area under the curve equals 1.   Find the range probabilities (=areas under the curve) in the standard normal distribution limited by the following index values  </t>
    </r>
    <r>
      <rPr>
        <i/>
        <sz val="10"/>
        <rFont val="Arial"/>
        <family val="2"/>
      </rPr>
      <t>z</t>
    </r>
    <r>
      <rPr>
        <sz val="10"/>
        <rFont val="Arial"/>
        <family val="2"/>
      </rPr>
      <t>:</t>
    </r>
  </si>
  <si>
    <t>Between 0 and 1.2</t>
  </si>
  <si>
    <t>Between 0 and 1.49</t>
  </si>
  <si>
    <t>Between -0.48 and 0</t>
  </si>
  <si>
    <t>Between -1.37 and 1.33</t>
  </si>
  <si>
    <t>Above 1.33</t>
  </si>
  <si>
    <t>Exercise E-3:   Applying normal distribution to a manufacturing quality problem</t>
  </si>
  <si>
    <t>Sub-question:</t>
  </si>
  <si>
    <t>Problem not corrected</t>
  </si>
  <si>
    <t>New control system</t>
  </si>
  <si>
    <t>Situation:</t>
  </si>
  <si>
    <t>Required length</t>
  </si>
  <si>
    <t xml:space="preserve"> - Minimum</t>
  </si>
  <si>
    <t xml:space="preserve"> - Maximum</t>
  </si>
  <si>
    <t>Observed mean</t>
  </si>
  <si>
    <t>CALCULATED PROBABILITIES of item exceeding limitations:</t>
  </si>
  <si>
    <t>Below lower limit:</t>
  </si>
  <si>
    <t>Above upper limit:</t>
  </si>
  <si>
    <t>Sum probability of exceeding</t>
  </si>
  <si>
    <t>Exercise E-4:   Cash flow analysis for an investment in machinery</t>
  </si>
  <si>
    <t>ASSUMPTIONS:</t>
  </si>
  <si>
    <t>Intitial investment</t>
  </si>
  <si>
    <t>Price of machine</t>
  </si>
  <si>
    <t>Freight &amp; installation</t>
  </si>
  <si>
    <t>Sum investment</t>
  </si>
  <si>
    <t>Annual operating expenditures</t>
  </si>
  <si>
    <t>Should include manpower, electricity, servicing, repairs, spare parts</t>
  </si>
  <si>
    <t>and any other expenditures due to the machine.</t>
  </si>
  <si>
    <t>Depreciation is not included and is not relevant here.</t>
  </si>
  <si>
    <t>Useful life of machine:</t>
  </si>
  <si>
    <t>years</t>
  </si>
  <si>
    <t>Net salvage value after useful life:</t>
  </si>
  <si>
    <t>Adjustments to revenue</t>
  </si>
  <si>
    <t>Gross revenue generated from machine</t>
  </si>
  <si>
    <t>Annual revenues</t>
  </si>
  <si>
    <t>Net revenue</t>
  </si>
  <si>
    <t>Year</t>
  </si>
  <si>
    <t>Investment</t>
  </si>
  <si>
    <t>Revenues</t>
  </si>
  <si>
    <t>CASH FLOW CALCULATION  (Taxes not considered)</t>
  </si>
  <si>
    <t>Operating</t>
  </si>
  <si>
    <t>Net cash flow</t>
  </si>
  <si>
    <t>Net salvage</t>
  </si>
  <si>
    <t>Unit:</t>
  </si>
  <si>
    <t>US dollars</t>
  </si>
  <si>
    <t>Comment on spreadsheet formulas</t>
  </si>
  <si>
    <t>All values are referred from the Assumptions part above.</t>
  </si>
  <si>
    <t>The formulas for Revenues, Operating and Net salvage are</t>
  </si>
  <si>
    <t>made dependent on the time variable in cell E17, so that</t>
  </si>
  <si>
    <t>the project's useful life can be varied.</t>
  </si>
  <si>
    <t>Discount rate</t>
  </si>
  <si>
    <t>per year</t>
  </si>
  <si>
    <t>Discount factor</t>
  </si>
  <si>
    <t>Discounted cash flows</t>
  </si>
  <si>
    <t>Sum</t>
  </si>
  <si>
    <t>Yellow cells indicating data that can be changed</t>
  </si>
  <si>
    <t>Reference case:  No process upgrading</t>
  </si>
  <si>
    <t>Production</t>
  </si>
  <si>
    <t>MBbl/year</t>
  </si>
  <si>
    <t>Operations</t>
  </si>
  <si>
    <t>Net cash</t>
  </si>
  <si>
    <t>Project case:  Process upgrading</t>
  </si>
  <si>
    <t>Project incremental</t>
  </si>
  <si>
    <t>NPV</t>
  </si>
  <si>
    <t>IRR</t>
  </si>
  <si>
    <t>Oil price</t>
  </si>
  <si>
    <t>$/Bbl</t>
  </si>
  <si>
    <t>Unit: Million US Dollars except where noted</t>
  </si>
  <si>
    <t>ASSUMPTIONS</t>
  </si>
  <si>
    <t>Oil price, all years</t>
  </si>
  <si>
    <t>US$ / barrel</t>
  </si>
  <si>
    <t>Added op.cost in project case</t>
  </si>
  <si>
    <t>Operations costs, reference case</t>
  </si>
  <si>
    <t>million $ per year of production</t>
  </si>
  <si>
    <t>Project investment</t>
  </si>
  <si>
    <t>million $</t>
  </si>
  <si>
    <t>Net cash flow without process upgrading</t>
  </si>
  <si>
    <t>Net cash flow with process upgrading</t>
  </si>
  <si>
    <t>Project cash flow:  Effect of upgrading</t>
  </si>
  <si>
    <t>Calculations for chapter 2.6:  Complex cash flow resulting from upgraded oilfield processing capacity</t>
  </si>
  <si>
    <t>Exercise E-5:  Cash flow discounting</t>
  </si>
  <si>
    <t>Nominal cash flows</t>
  </si>
  <si>
    <t>Inflation</t>
  </si>
  <si>
    <t>Deflator</t>
  </si>
  <si>
    <t>Constant-value cash flows</t>
  </si>
  <si>
    <t>NPV @</t>
  </si>
  <si>
    <t>CALCULATIONS</t>
  </si>
  <si>
    <t>ANSWER TO QUESTIONS</t>
  </si>
  <si>
    <t>a)</t>
  </si>
  <si>
    <t>See cells E5:E8</t>
  </si>
  <si>
    <t>b)</t>
  </si>
  <si>
    <t>c)</t>
  </si>
  <si>
    <t>d)</t>
  </si>
  <si>
    <t>e)</t>
  </si>
  <si>
    <t>Yes, provided a 10% rate of return in constant monetary value is acceptable to the firm</t>
  </si>
  <si>
    <t>Cells E12:E16  and graph on the right</t>
  </si>
  <si>
    <t>The graph shows that IRR is between 10% and 15%.      Spreadsheet calculation:</t>
  </si>
  <si>
    <t>Exercise E-6:   Present values with a simple decision tree</t>
  </si>
  <si>
    <t>Initial project:</t>
  </si>
  <si>
    <t>ASSUMPTIONS   (All amounts in $ million)</t>
  </si>
  <si>
    <t>Net revenues:</t>
  </si>
  <si>
    <t>as shown in table, B column</t>
  </si>
  <si>
    <t>as shown in table, C column</t>
  </si>
  <si>
    <t>IRR:</t>
  </si>
  <si>
    <t>NPV:</t>
  </si>
  <si>
    <t>I n i t i a l    p r o j e c t</t>
  </si>
  <si>
    <t>Cash flow</t>
  </si>
  <si>
    <t>All amounts in $ million</t>
  </si>
  <si>
    <t>Required rate of return</t>
  </si>
  <si>
    <t>NPV (to yr 0)</t>
  </si>
  <si>
    <t>E x p a n s i o n</t>
  </si>
  <si>
    <t>Contingent probability</t>
  </si>
  <si>
    <t>Revenues(1)</t>
  </si>
  <si>
    <t>Revenues(2)</t>
  </si>
  <si>
    <t>Cash flow (1)</t>
  </si>
  <si>
    <t>Cash flow (2)</t>
  </si>
  <si>
    <t>Question a)</t>
  </si>
  <si>
    <t xml:space="preserve">NPV of initial project is </t>
  </si>
  <si>
    <t>million.   Not acceptable on this basis (since NPV &lt; 0)</t>
  </si>
  <si>
    <t>Question b)</t>
  </si>
  <si>
    <t>Node</t>
  </si>
  <si>
    <t>NPV of node</t>
  </si>
  <si>
    <t xml:space="preserve"> Dependent on</t>
  </si>
  <si>
    <t xml:space="preserve"> (1) Initial project successful; (2) Decision to undertake expansion; (3) higher outcome of expanded revenues</t>
  </si>
  <si>
    <t xml:space="preserve"> (1) Initial project successful; (2) Decision to undertake expansion; (3) lower outcome of expanded revenues</t>
  </si>
  <si>
    <t xml:space="preserve"> (1) Initial project successful; (2) Decision to undertake expansion</t>
  </si>
  <si>
    <t>Expansion:</t>
  </si>
  <si>
    <t>Chance of achieving required condition:</t>
  </si>
  <si>
    <t>Expansion investment cost</t>
  </si>
  <si>
    <t>million $ in year 5</t>
  </si>
  <si>
    <t>million $ with</t>
  </si>
  <si>
    <t>probability</t>
  </si>
  <si>
    <t>Annual added reveneues, year 6-10 (1)</t>
  </si>
  <si>
    <t>Annual added reveneues, year 6-10 (2)</t>
  </si>
  <si>
    <t>Value of initial project:</t>
  </si>
  <si>
    <t>Option value of expansion:</t>
  </si>
  <si>
    <t>Value at A:</t>
  </si>
  <si>
    <t>(C)</t>
  </si>
  <si>
    <t>(D)</t>
  </si>
  <si>
    <t>(B)</t>
  </si>
  <si>
    <t>(A)</t>
  </si>
  <si>
    <t>Question c)</t>
  </si>
  <si>
    <t>Worth of project including option to expand:</t>
  </si>
  <si>
    <t>On this basis it is acceptable to undertake the initial project, not because of its own associated revenues,</t>
  </si>
  <si>
    <t>but because it creates an option to expand which has a sufficient risk-weighed profitability so as to offset the negative worth of the initial project.</t>
  </si>
  <si>
    <t>The risk-weighed surplus NPV is rather small at $ 0.3 million, which merits a careful review of assumptions.</t>
  </si>
  <si>
    <t>NOTE:   In all columns, make sure all cells are filled with either zeros or other numbers.   If cells are left blank, the NPV function does not work properly.</t>
  </si>
  <si>
    <t>ANSWERS TO QUESTIONS</t>
  </si>
  <si>
    <t>f)</t>
  </si>
  <si>
    <t>g)</t>
  </si>
  <si>
    <t>12.9%</t>
  </si>
  <si>
    <t>(Enter -105 instead of -100 in cell B5).  IRR drops from 12.9% to 10.5%.  NPV at 10% (constant value) drops by 5  (from 6.2 to 1.2)</t>
  </si>
  <si>
    <t>IRR drops from 12.9% to 8.2%.  NPV at 10% drops by 11.5  (from 6.2 to -5.3)</t>
  </si>
  <si>
    <t>Introduction to probability distribution and petroleum project economics</t>
  </si>
  <si>
    <t>You should try to solve the exercises on you own before looking at the solutions in the following sheets.</t>
  </si>
  <si>
    <t>© PETRAD</t>
  </si>
  <si>
    <t>This file contains solutions to exercises in the text:</t>
  </si>
</sst>
</file>

<file path=xl/styles.xml><?xml version="1.0" encoding="utf-8"?>
<styleSheet xmlns="http://schemas.openxmlformats.org/spreadsheetml/2006/main">
  <numFmts count="5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.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&quot;Ja&quot;;&quot;Ja&quot;;&quot;Nei&quot;"/>
    <numFmt numFmtId="179" formatCode="&quot;Sann&quot;;&quot;Sann&quot;;&quot;Usann&quot;"/>
    <numFmt numFmtId="180" formatCode="&quot;På&quot;;&quot;På&quot;;&quot;Av&quot;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[$$-409]#,##0.0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_);_(* \(#,##0.000\);_(* &quot;-&quot;???_);_(@_)"/>
    <numFmt numFmtId="200" formatCode="#,##0.0000000000"/>
    <numFmt numFmtId="201" formatCode="0.0\ %"/>
    <numFmt numFmtId="202" formatCode="#,##0.0"/>
    <numFmt numFmtId="203" formatCode="#,##0.000"/>
    <numFmt numFmtId="204" formatCode="_(* #,##0.0000_);_(* \(#,##0.0000\);_(* &quot;-&quot;??_);_(@_)"/>
    <numFmt numFmtId="205" formatCode="0.000"/>
    <numFmt numFmtId="206" formatCode="0%"/>
    <numFmt numFmtId="207" formatCode="_(* #\ ##0.0_);_(* \(#\ ##0.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95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5" fontId="0" fillId="33" borderId="0" xfId="0" applyNumberFormat="1" applyFill="1" applyBorder="1" applyAlignment="1">
      <alignment/>
    </xf>
    <xf numFmtId="195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0" xfId="0" applyNumberFormat="1" applyFill="1" applyBorder="1" applyAlignment="1">
      <alignment/>
    </xf>
    <xf numFmtId="197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20" xfId="0" applyBorder="1" applyAlignment="1">
      <alignment horizontal="center"/>
    </xf>
    <xf numFmtId="3" fontId="0" fillId="0" borderId="0" xfId="42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21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3" fontId="0" fillId="0" borderId="23" xfId="42" applyNumberFormat="1" applyFont="1" applyBorder="1" applyAlignment="1">
      <alignment/>
    </xf>
    <xf numFmtId="3" fontId="0" fillId="0" borderId="20" xfId="42" applyNumberFormat="1" applyFont="1" applyBorder="1" applyAlignment="1">
      <alignment/>
    </xf>
    <xf numFmtId="198" fontId="0" fillId="0" borderId="0" xfId="42" applyNumberFormat="1" applyFont="1" applyBorder="1" applyAlignment="1">
      <alignment/>
    </xf>
    <xf numFmtId="3" fontId="0" fillId="0" borderId="24" xfId="42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9" fontId="0" fillId="0" borderId="0" xfId="0" applyNumberFormat="1" applyAlignment="1">
      <alignment/>
    </xf>
    <xf numFmtId="20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7" xfId="0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171" fontId="0" fillId="0" borderId="22" xfId="42" applyFont="1" applyBorder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0" fillId="0" borderId="24" xfId="0" applyNumberFormat="1" applyBorder="1" applyAlignment="1">
      <alignment/>
    </xf>
    <xf numFmtId="202" fontId="0" fillId="0" borderId="0" xfId="0" applyNumberFormat="1" applyAlignment="1">
      <alignment/>
    </xf>
    <xf numFmtId="202" fontId="0" fillId="0" borderId="21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 horizontal="right" wrapText="1"/>
    </xf>
    <xf numFmtId="205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9" fontId="0" fillId="0" borderId="0" xfId="59" applyFont="1" applyBorder="1" applyAlignment="1">
      <alignment/>
    </xf>
    <xf numFmtId="205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9" fontId="0" fillId="0" borderId="21" xfId="59" applyFont="1" applyBorder="1" applyAlignment="1">
      <alignment/>
    </xf>
    <xf numFmtId="205" fontId="0" fillId="0" borderId="21" xfId="42" applyNumberFormat="1" applyFont="1" applyBorder="1" applyAlignment="1">
      <alignment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9" xfId="0" applyBorder="1" applyAlignment="1">
      <alignment/>
    </xf>
    <xf numFmtId="173" fontId="0" fillId="0" borderId="30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9" fontId="0" fillId="0" borderId="15" xfId="0" applyNumberFormat="1" applyBorder="1" applyAlignment="1">
      <alignment/>
    </xf>
    <xf numFmtId="196" fontId="0" fillId="0" borderId="16" xfId="42" applyNumberFormat="1" applyFont="1" applyBorder="1" applyAlignment="1">
      <alignment/>
    </xf>
    <xf numFmtId="201" fontId="0" fillId="0" borderId="18" xfId="0" applyNumberFormat="1" applyBorder="1" applyAlignment="1">
      <alignment/>
    </xf>
    <xf numFmtId="201" fontId="0" fillId="0" borderId="19" xfId="0" applyNumberFormat="1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3" fontId="0" fillId="0" borderId="3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/>
    </xf>
    <xf numFmtId="177" fontId="2" fillId="0" borderId="18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7" fontId="2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35" xfId="59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Fill="1" applyBorder="1" applyAlignment="1">
      <alignment horizontal="right"/>
    </xf>
    <xf numFmtId="173" fontId="0" fillId="0" borderId="24" xfId="42" applyNumberFormat="1" applyFont="1" applyBorder="1" applyAlignment="1">
      <alignment/>
    </xf>
    <xf numFmtId="173" fontId="0" fillId="0" borderId="21" xfId="42" applyNumberFormat="1" applyFont="1" applyBorder="1" applyAlignment="1">
      <alignment/>
    </xf>
    <xf numFmtId="173" fontId="0" fillId="0" borderId="25" xfId="42" applyNumberFormat="1" applyFont="1" applyBorder="1" applyAlignment="1">
      <alignment/>
    </xf>
    <xf numFmtId="173" fontId="0" fillId="0" borderId="2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39" xfId="0" applyBorder="1" applyAlignment="1">
      <alignment/>
    </xf>
    <xf numFmtId="173" fontId="0" fillId="0" borderId="39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 horizontal="right"/>
    </xf>
    <xf numFmtId="173" fontId="0" fillId="0" borderId="29" xfId="0" applyNumberFormat="1" applyBorder="1" applyAlignment="1">
      <alignment/>
    </xf>
    <xf numFmtId="173" fontId="0" fillId="0" borderId="30" xfId="42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6" xfId="42" applyNumberFormat="1" applyFont="1" applyBorder="1" applyAlignment="1">
      <alignment/>
    </xf>
    <xf numFmtId="171" fontId="0" fillId="0" borderId="33" xfId="42" applyFont="1" applyBorder="1" applyAlignment="1">
      <alignment/>
    </xf>
    <xf numFmtId="171" fontId="0" fillId="0" borderId="18" xfId="42" applyFont="1" applyBorder="1" applyAlignment="1">
      <alignment/>
    </xf>
    <xf numFmtId="171" fontId="0" fillId="0" borderId="35" xfId="42" applyFont="1" applyBorder="1" applyAlignment="1">
      <alignment/>
    </xf>
    <xf numFmtId="0" fontId="0" fillId="0" borderId="33" xfId="0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/>
    </xf>
    <xf numFmtId="197" fontId="0" fillId="33" borderId="20" xfId="42" applyNumberFormat="1" applyFont="1" applyFill="1" applyBorder="1" applyAlignment="1">
      <alignment/>
    </xf>
    <xf numFmtId="197" fontId="0" fillId="33" borderId="0" xfId="42" applyNumberFormat="1" applyFont="1" applyFill="1" applyBorder="1" applyAlignment="1">
      <alignment/>
    </xf>
    <xf numFmtId="197" fontId="0" fillId="0" borderId="10" xfId="42" applyNumberFormat="1" applyFont="1" applyBorder="1" applyAlignment="1">
      <alignment/>
    </xf>
    <xf numFmtId="197" fontId="0" fillId="0" borderId="20" xfId="42" applyNumberFormat="1" applyFont="1" applyBorder="1" applyAlignment="1">
      <alignment/>
    </xf>
    <xf numFmtId="197" fontId="0" fillId="0" borderId="0" xfId="42" applyNumberFormat="1" applyFont="1" applyBorder="1" applyAlignment="1">
      <alignment/>
    </xf>
    <xf numFmtId="197" fontId="0" fillId="0" borderId="16" xfId="42" applyNumberFormat="1" applyFont="1" applyBorder="1" applyAlignment="1">
      <alignment/>
    </xf>
    <xf numFmtId="173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11" xfId="0" applyNumberFormat="1" applyBorder="1" applyAlignment="1">
      <alignment/>
    </xf>
    <xf numFmtId="205" fontId="0" fillId="0" borderId="11" xfId="42" applyNumberFormat="1" applyFont="1" applyBorder="1" applyAlignment="1">
      <alignment/>
    </xf>
    <xf numFmtId="173" fontId="0" fillId="0" borderId="32" xfId="0" applyNumberFormat="1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825"/>
          <c:w val="0.94775"/>
          <c:h val="0.923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'E-1'!$C$13:$C$29</c:f>
              <c:numCache/>
            </c:numRef>
          </c:cat>
          <c:val>
            <c:numRef>
              <c:f>'E-1'!$D$13:$D$29</c:f>
              <c:numCache/>
            </c:numRef>
          </c:val>
          <c:smooth val="0"/>
        </c:ser>
        <c:marker val="1"/>
        <c:axId val="41912606"/>
        <c:axId val="41669135"/>
      </c:lineChart>
      <c:catAx>
        <c:axId val="4191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69135"/>
        <c:crosses val="autoZero"/>
        <c:auto val="1"/>
        <c:lblOffset val="100"/>
        <c:tickLblSkip val="2"/>
        <c:noMultiLvlLbl val="0"/>
      </c:catAx>
      <c:valAx>
        <c:axId val="4166913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2606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1"/>
          <c:w val="0.94775"/>
          <c:h val="0.91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'E-1'!$A$13:$A$29</c:f>
              <c:numCache/>
            </c:numRef>
          </c:cat>
          <c:val>
            <c:numRef>
              <c:f>'E-1'!$B$13:$B$29</c:f>
              <c:numCache/>
            </c:numRef>
          </c:val>
          <c:smooth val="0"/>
        </c:ser>
        <c:marker val="1"/>
        <c:axId val="39477896"/>
        <c:axId val="19756745"/>
      </c:lineChart>
      <c:catAx>
        <c:axId val="3947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6745"/>
        <c:crosses val="autoZero"/>
        <c:auto val="1"/>
        <c:lblOffset val="100"/>
        <c:tickLblSkip val="2"/>
        <c:noMultiLvlLbl val="0"/>
      </c:catAx>
      <c:valAx>
        <c:axId val="19756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7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cash flow histogram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725"/>
          <c:w val="0.94425"/>
          <c:h val="0.767"/>
        </c:manualLayout>
      </c:layout>
      <c:barChart>
        <c:barDir val="col"/>
        <c:grouping val="stacked"/>
        <c:varyColors val="0"/>
        <c:ser>
          <c:idx val="5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'E-4'!$A$29:$A$40</c:f>
              <c:numCache/>
            </c:numRef>
          </c:cat>
          <c:val>
            <c:numRef>
              <c:f>'E-4'!$F$29:$F$40</c:f>
              <c:numCache/>
            </c:numRef>
          </c:val>
        </c:ser>
        <c:overlap val="100"/>
        <c:axId val="43592978"/>
        <c:axId val="56792483"/>
      </c:barChart>
      <c:catAx>
        <c:axId val="4359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2483"/>
        <c:crosses val="autoZero"/>
        <c:auto val="1"/>
        <c:lblOffset val="100"/>
        <c:tickLblSkip val="1"/>
        <c:noMultiLvlLbl val="0"/>
      </c:catAx>
      <c:valAx>
        <c:axId val="56792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present value profile (E-5)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25"/>
          <c:w val="0.9085"/>
          <c:h val="0.70725"/>
        </c:manualLayout>
      </c:layout>
      <c:lineChart>
        <c:grouping val="standard"/>
        <c:varyColors val="0"/>
        <c:ser>
          <c:idx val="4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'E-5'!$A$12:$A$16</c:f>
              <c:numCache/>
            </c:numRef>
          </c:cat>
          <c:val>
            <c:numRef>
              <c:f>'E-5'!$E$12:$E$16</c:f>
              <c:numCache/>
            </c:numRef>
          </c:val>
          <c:smooth val="0"/>
        </c:ser>
        <c:marker val="1"/>
        <c:axId val="41370300"/>
        <c:axId val="36788381"/>
      </c:lineChart>
      <c:catAx>
        <c:axId val="4137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Discount rate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6788381"/>
        <c:crosses val="autoZero"/>
        <c:auto val="1"/>
        <c:lblOffset val="100"/>
        <c:tickLblSkip val="1"/>
        <c:noMultiLvlLbl val="0"/>
      </c:catAx>
      <c:valAx>
        <c:axId val="367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03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"/>
          <c:w val="0.9585"/>
          <c:h val="0.93"/>
        </c:manualLayout>
      </c:layout>
      <c:barChart>
        <c:barDir val="col"/>
        <c:grouping val="stacked"/>
        <c:varyColors val="0"/>
        <c:ser>
          <c:idx val="3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Chapter2_6!$R$18:$R$33</c:f>
              <c:numCache/>
            </c:numRef>
          </c:cat>
          <c:val>
            <c:numRef>
              <c:f>Chapter2_6!$U$18:$U$33</c:f>
              <c:numCache/>
            </c:numRef>
          </c:val>
        </c:ser>
        <c:overlap val="100"/>
        <c:axId val="62659974"/>
        <c:axId val="27068855"/>
      </c:barChart>
      <c:catAx>
        <c:axId val="6265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68855"/>
        <c:crosses val="autoZero"/>
        <c:auto val="1"/>
        <c:lblOffset val="100"/>
        <c:tickLblSkip val="1"/>
        <c:noMultiLvlLbl val="0"/>
      </c:catAx>
      <c:valAx>
        <c:axId val="27068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9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18</xdr:row>
      <xdr:rowOff>9525</xdr:rowOff>
    </xdr:from>
    <xdr:to>
      <xdr:col>11</xdr:col>
      <xdr:colOff>723900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5314950" y="2933700"/>
        <a:ext cx="37242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</xdr:row>
      <xdr:rowOff>28575</xdr:rowOff>
    </xdr:from>
    <xdr:to>
      <xdr:col>11</xdr:col>
      <xdr:colOff>714375</xdr:colOff>
      <xdr:row>15</xdr:row>
      <xdr:rowOff>152400</xdr:rowOff>
    </xdr:to>
    <xdr:graphicFrame>
      <xdr:nvGraphicFramePr>
        <xdr:cNvPr id="2" name="Chart 3"/>
        <xdr:cNvGraphicFramePr/>
      </xdr:nvGraphicFramePr>
      <xdr:xfrm>
        <a:off x="5305425" y="190500"/>
        <a:ext cx="37242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54</xdr:row>
      <xdr:rowOff>85725</xdr:rowOff>
    </xdr:from>
    <xdr:to>
      <xdr:col>11</xdr:col>
      <xdr:colOff>76200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5257800" y="9029700"/>
        <a:ext cx="34956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38100</xdr:rowOff>
    </xdr:from>
    <xdr:to>
      <xdr:col>11</xdr:col>
      <xdr:colOff>285750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62425" y="8572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38</xdr:row>
      <xdr:rowOff>104775</xdr:rowOff>
    </xdr:from>
    <xdr:to>
      <xdr:col>21</xdr:col>
      <xdr:colOff>295275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1115675" y="62769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9"/>
  <sheetViews>
    <sheetView tabSelected="1" zoomScalePageLayoutView="0" workbookViewId="0" topLeftCell="A1">
      <selection activeCell="E18" sqref="E18"/>
    </sheetView>
  </sheetViews>
  <sheetFormatPr defaultColWidth="9.140625" defaultRowHeight="12.75"/>
  <sheetData>
    <row r="6" ht="12.75">
      <c r="A6" s="8" t="s">
        <v>183</v>
      </c>
    </row>
    <row r="8" ht="12.75">
      <c r="A8" s="2" t="s">
        <v>180</v>
      </c>
    </row>
    <row r="11" ht="12.75">
      <c r="A11" s="8" t="s">
        <v>181</v>
      </c>
    </row>
    <row r="19" ht="12.75">
      <c r="A19" s="8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7" width="11.28125" style="0" customWidth="1"/>
  </cols>
  <sheetData>
    <row r="1" spans="1:8" ht="12.75">
      <c r="A1" s="2" t="s">
        <v>2</v>
      </c>
      <c r="H1" t="s">
        <v>10</v>
      </c>
    </row>
    <row r="3" spans="1:3" ht="12.75">
      <c r="A3" s="4" t="s">
        <v>4</v>
      </c>
      <c r="B3" s="3"/>
      <c r="C3" s="3"/>
    </row>
    <row r="4" spans="1:3" ht="12.75">
      <c r="A4" s="3"/>
      <c r="B4" s="3"/>
      <c r="C4" s="5" t="s">
        <v>3</v>
      </c>
    </row>
    <row r="5" spans="1:3" ht="12.75">
      <c r="A5" s="3" t="s">
        <v>1</v>
      </c>
      <c r="B5" s="3"/>
      <c r="C5" s="6">
        <v>0</v>
      </c>
    </row>
    <row r="6" spans="1:3" ht="12.75">
      <c r="A6" s="3" t="s">
        <v>5</v>
      </c>
      <c r="B6" s="3"/>
      <c r="C6" s="7">
        <v>-2</v>
      </c>
    </row>
    <row r="7" spans="1:3" ht="12.75">
      <c r="A7" s="3" t="s">
        <v>0</v>
      </c>
      <c r="B7" s="3"/>
      <c r="C7" s="7">
        <v>3</v>
      </c>
    </row>
    <row r="10" ht="13.5" thickBot="1">
      <c r="A10" s="2" t="s">
        <v>8</v>
      </c>
    </row>
    <row r="11" spans="1:4" ht="12.75">
      <c r="A11" s="18" t="s">
        <v>9</v>
      </c>
      <c r="B11" s="19"/>
      <c r="C11" s="19" t="s">
        <v>7</v>
      </c>
      <c r="D11" s="20"/>
    </row>
    <row r="12" spans="1:4" ht="12.75">
      <c r="A12" s="21"/>
      <c r="B12" s="3"/>
      <c r="C12" s="3"/>
      <c r="D12" s="22"/>
    </row>
    <row r="13" spans="1:4" ht="12.75">
      <c r="A13" s="21">
        <f aca="true" t="shared" si="0" ref="A13:A29">+C13</f>
        <v>-10</v>
      </c>
      <c r="B13" s="3">
        <f>NORMDIST(A13,$C$6,$C$7,0)</f>
        <v>0.003798662007932481</v>
      </c>
      <c r="C13" s="3">
        <v>-10</v>
      </c>
      <c r="D13" s="22">
        <f>1-NORMDIST(C13,$C$6,$C$7,1)</f>
        <v>0.9961696194324102</v>
      </c>
    </row>
    <row r="14" spans="1:4" ht="12.75">
      <c r="A14" s="21">
        <f t="shared" si="0"/>
        <v>-9</v>
      </c>
      <c r="B14" s="3">
        <f>NORMDIST(A14,$C$6,$C$7,0)</f>
        <v>0.00874062969790316</v>
      </c>
      <c r="C14" s="3">
        <f>+C13+1</f>
        <v>-9</v>
      </c>
      <c r="D14" s="22">
        <f aca="true" t="shared" si="1" ref="D14:D29">1-NORMDIST(C14,$C$6,$C$7,1)</f>
        <v>0.9901846713713547</v>
      </c>
    </row>
    <row r="15" spans="1:4" ht="12.75">
      <c r="A15" s="21">
        <f t="shared" si="0"/>
        <v>-8</v>
      </c>
      <c r="B15" s="3">
        <f>NORMDIST(A15,$C$6,$C$7,0)</f>
        <v>0.017996988837729353</v>
      </c>
      <c r="C15" s="3">
        <f aca="true" t="shared" si="2" ref="C15:C29">+C14+1</f>
        <v>-8</v>
      </c>
      <c r="D15" s="22">
        <f t="shared" si="1"/>
        <v>0.9772498680518208</v>
      </c>
    </row>
    <row r="16" spans="1:4" ht="12.75">
      <c r="A16" s="21">
        <f t="shared" si="0"/>
        <v>-7</v>
      </c>
      <c r="B16" s="3">
        <f>NORMDIST(A16,$C$6,$C$7,0)</f>
        <v>0.03315904626424956</v>
      </c>
      <c r="C16" s="3">
        <f t="shared" si="2"/>
        <v>-7</v>
      </c>
      <c r="D16" s="22">
        <f t="shared" si="1"/>
        <v>0.9522096477271853</v>
      </c>
    </row>
    <row r="17" spans="1:4" ht="12.75">
      <c r="A17" s="21">
        <f t="shared" si="0"/>
        <v>-6</v>
      </c>
      <c r="B17" s="3">
        <f aca="true" t="shared" si="3" ref="B17:B29">NORMDIST(A17,$C$6,$C$7,0)</f>
        <v>0.054670024891997876</v>
      </c>
      <c r="C17" s="3">
        <f t="shared" si="2"/>
        <v>-6</v>
      </c>
      <c r="D17" s="22">
        <f t="shared" si="1"/>
        <v>0.9087887802741321</v>
      </c>
    </row>
    <row r="18" spans="1:8" ht="12.75">
      <c r="A18" s="21">
        <f t="shared" si="0"/>
        <v>-5</v>
      </c>
      <c r="B18" s="3">
        <f t="shared" si="3"/>
        <v>0.0806569081730478</v>
      </c>
      <c r="C18" s="3">
        <f t="shared" si="2"/>
        <v>-5</v>
      </c>
      <c r="D18" s="22">
        <f t="shared" si="1"/>
        <v>0.841344746068543</v>
      </c>
      <c r="H18" t="s">
        <v>6</v>
      </c>
    </row>
    <row r="19" spans="1:4" ht="12.75">
      <c r="A19" s="21">
        <f t="shared" si="0"/>
        <v>-4</v>
      </c>
      <c r="B19" s="3">
        <f t="shared" si="3"/>
        <v>0.10648266850745074</v>
      </c>
      <c r="C19" s="3">
        <f t="shared" si="2"/>
        <v>-4</v>
      </c>
      <c r="D19" s="22">
        <f t="shared" si="1"/>
        <v>0.7475074624530771</v>
      </c>
    </row>
    <row r="20" spans="1:4" ht="12.75">
      <c r="A20" s="21">
        <f t="shared" si="0"/>
        <v>-3</v>
      </c>
      <c r="B20" s="3">
        <f t="shared" si="3"/>
        <v>0.12579440923099772</v>
      </c>
      <c r="C20" s="3">
        <f t="shared" si="2"/>
        <v>-3</v>
      </c>
      <c r="D20" s="22">
        <f t="shared" si="1"/>
        <v>0.6305586598182364</v>
      </c>
    </row>
    <row r="21" spans="1:4" ht="12.75">
      <c r="A21" s="21">
        <f t="shared" si="0"/>
        <v>-2</v>
      </c>
      <c r="B21" s="3">
        <f t="shared" si="3"/>
        <v>0.13298076013381088</v>
      </c>
      <c r="C21" s="3">
        <f t="shared" si="2"/>
        <v>-2</v>
      </c>
      <c r="D21" s="22">
        <f t="shared" si="1"/>
        <v>0.5</v>
      </c>
    </row>
    <row r="22" spans="1:4" ht="12.75">
      <c r="A22" s="21">
        <f t="shared" si="0"/>
        <v>-1</v>
      </c>
      <c r="B22" s="3">
        <f t="shared" si="3"/>
        <v>0.12579440923099772</v>
      </c>
      <c r="C22" s="3">
        <f t="shared" si="2"/>
        <v>-1</v>
      </c>
      <c r="D22" s="22">
        <f t="shared" si="1"/>
        <v>0.36944134018176356</v>
      </c>
    </row>
    <row r="23" spans="1:4" ht="12.75">
      <c r="A23" s="21">
        <f t="shared" si="0"/>
        <v>0</v>
      </c>
      <c r="B23" s="3">
        <f t="shared" si="3"/>
        <v>0.10648266850745074</v>
      </c>
      <c r="C23" s="3">
        <f t="shared" si="2"/>
        <v>0</v>
      </c>
      <c r="D23" s="22">
        <f t="shared" si="1"/>
        <v>0.2524925375469229</v>
      </c>
    </row>
    <row r="24" spans="1:4" ht="12.75">
      <c r="A24" s="21">
        <f t="shared" si="0"/>
        <v>1</v>
      </c>
      <c r="B24" s="3">
        <f t="shared" si="3"/>
        <v>0.0806569081730478</v>
      </c>
      <c r="C24" s="3">
        <f t="shared" si="2"/>
        <v>1</v>
      </c>
      <c r="D24" s="22">
        <f t="shared" si="1"/>
        <v>0.15865525393145696</v>
      </c>
    </row>
    <row r="25" spans="1:4" ht="12.75">
      <c r="A25" s="21">
        <f t="shared" si="0"/>
        <v>2</v>
      </c>
      <c r="B25" s="3">
        <f t="shared" si="3"/>
        <v>0.054670024891997876</v>
      </c>
      <c r="C25" s="3">
        <f t="shared" si="2"/>
        <v>2</v>
      </c>
      <c r="D25" s="22">
        <f t="shared" si="1"/>
        <v>0.09121121972586788</v>
      </c>
    </row>
    <row r="26" spans="1:4" ht="12.75">
      <c r="A26" s="21">
        <f t="shared" si="0"/>
        <v>3</v>
      </c>
      <c r="B26" s="3">
        <f t="shared" si="3"/>
        <v>0.03315904626424956</v>
      </c>
      <c r="C26" s="3">
        <f t="shared" si="2"/>
        <v>3</v>
      </c>
      <c r="D26" s="22">
        <f t="shared" si="1"/>
        <v>0.047790352272814696</v>
      </c>
    </row>
    <row r="27" spans="1:4" ht="12.75">
      <c r="A27" s="21">
        <f t="shared" si="0"/>
        <v>4</v>
      </c>
      <c r="B27" s="3">
        <f t="shared" si="3"/>
        <v>0.017996988837729353</v>
      </c>
      <c r="C27" s="3">
        <f t="shared" si="2"/>
        <v>4</v>
      </c>
      <c r="D27" s="22">
        <f t="shared" si="1"/>
        <v>0.02275013194817921</v>
      </c>
    </row>
    <row r="28" spans="1:4" ht="12.75">
      <c r="A28" s="21">
        <f t="shared" si="0"/>
        <v>5</v>
      </c>
      <c r="B28" s="3">
        <f t="shared" si="3"/>
        <v>0.00874062969790316</v>
      </c>
      <c r="C28" s="3">
        <f t="shared" si="2"/>
        <v>5</v>
      </c>
      <c r="D28" s="22">
        <f t="shared" si="1"/>
        <v>0.009815328628645315</v>
      </c>
    </row>
    <row r="29" spans="1:4" ht="13.5" thickBot="1">
      <c r="A29" s="24">
        <f t="shared" si="0"/>
        <v>6</v>
      </c>
      <c r="B29" s="25">
        <f t="shared" si="3"/>
        <v>0.003798662007932481</v>
      </c>
      <c r="C29" s="25">
        <f t="shared" si="2"/>
        <v>6</v>
      </c>
      <c r="D29" s="26">
        <f t="shared" si="1"/>
        <v>0.003830380567589775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12.28125" style="8" customWidth="1"/>
    <col min="2" max="7" width="11.28125" style="8" customWidth="1"/>
    <col min="8" max="16384" width="11.421875" style="8" customWidth="1"/>
  </cols>
  <sheetData>
    <row r="1" ht="12.75">
      <c r="A1" s="2" t="s">
        <v>26</v>
      </c>
    </row>
    <row r="3" spans="1:8" ht="49.5" customHeight="1">
      <c r="A3" s="176" t="s">
        <v>27</v>
      </c>
      <c r="B3" s="177"/>
      <c r="C3" s="177"/>
      <c r="D3" s="177"/>
      <c r="E3" s="177"/>
      <c r="F3" s="177"/>
      <c r="G3" s="177"/>
      <c r="H3" s="177"/>
    </row>
    <row r="4" spans="1:3" ht="12.75">
      <c r="A4" s="9"/>
      <c r="B4" s="9"/>
      <c r="C4" s="10"/>
    </row>
    <row r="5" spans="1:7" ht="12.75">
      <c r="A5" s="8" t="s">
        <v>12</v>
      </c>
      <c r="B5" s="8" t="s">
        <v>28</v>
      </c>
      <c r="C5" s="11"/>
      <c r="G5" s="14"/>
    </row>
    <row r="6" spans="1:7" ht="12.75">
      <c r="A6" s="8" t="s">
        <v>13</v>
      </c>
      <c r="B6" s="8" t="s">
        <v>29</v>
      </c>
      <c r="C6" s="11"/>
      <c r="G6" s="14"/>
    </row>
    <row r="7" spans="1:7" ht="12.75">
      <c r="A7" s="8" t="s">
        <v>14</v>
      </c>
      <c r="B7" s="8" t="s">
        <v>30</v>
      </c>
      <c r="C7" s="11"/>
      <c r="G7" s="14"/>
    </row>
    <row r="8" spans="1:7" ht="12.75">
      <c r="A8" s="8" t="s">
        <v>15</v>
      </c>
      <c r="B8" s="8" t="s">
        <v>31</v>
      </c>
      <c r="C8" s="11"/>
      <c r="G8" s="14"/>
    </row>
    <row r="9" spans="1:7" ht="12.75">
      <c r="A9" s="8" t="s">
        <v>16</v>
      </c>
      <c r="B9" s="14" t="s">
        <v>32</v>
      </c>
      <c r="C9" s="11"/>
      <c r="G9" s="14"/>
    </row>
    <row r="10" spans="1:3" ht="12.75">
      <c r="A10" s="9"/>
      <c r="B10" s="9"/>
      <c r="C10" s="11"/>
    </row>
    <row r="11" spans="1:3" ht="12.75">
      <c r="A11" s="9"/>
      <c r="B11" s="9"/>
      <c r="C11" s="11"/>
    </row>
    <row r="12" spans="1:3" ht="12.75">
      <c r="A12" s="9"/>
      <c r="B12" s="9"/>
      <c r="C12" s="11"/>
    </row>
    <row r="13" spans="1:8" ht="13.5" thickBot="1">
      <c r="A13" s="4" t="s">
        <v>24</v>
      </c>
      <c r="B13" s="9"/>
      <c r="C13" s="12"/>
      <c r="H13" s="13" t="s">
        <v>22</v>
      </c>
    </row>
    <row r="14" spans="1:8" ht="12.75">
      <c r="A14" s="121"/>
      <c r="B14" s="122" t="s">
        <v>19</v>
      </c>
      <c r="C14" s="123" t="s">
        <v>19</v>
      </c>
      <c r="D14" s="124"/>
      <c r="E14" s="124" t="s">
        <v>20</v>
      </c>
      <c r="F14" s="124"/>
      <c r="G14" s="124"/>
      <c r="H14" s="125" t="s">
        <v>23</v>
      </c>
    </row>
    <row r="15" spans="1:8" ht="12.75">
      <c r="A15" s="126" t="s">
        <v>11</v>
      </c>
      <c r="B15" s="10" t="s">
        <v>17</v>
      </c>
      <c r="C15" s="10" t="s">
        <v>18</v>
      </c>
      <c r="D15" s="9"/>
      <c r="E15" s="10" t="s">
        <v>17</v>
      </c>
      <c r="F15" s="10" t="s">
        <v>18</v>
      </c>
      <c r="G15" s="9"/>
      <c r="H15" s="127" t="s">
        <v>21</v>
      </c>
    </row>
    <row r="16" spans="1:8" ht="12.75">
      <c r="A16" s="126" t="s">
        <v>12</v>
      </c>
      <c r="B16" s="9">
        <v>0</v>
      </c>
      <c r="C16" s="9">
        <v>1.2</v>
      </c>
      <c r="D16" s="9"/>
      <c r="E16" s="9">
        <f aca="true" t="shared" si="0" ref="E16:F19">NORMSDIST(B16)</f>
        <v>0.5</v>
      </c>
      <c r="F16" s="9">
        <f t="shared" si="0"/>
        <v>0.8849303297782918</v>
      </c>
      <c r="G16" s="128" t="s">
        <v>12</v>
      </c>
      <c r="H16" s="129">
        <f>+F16-E16</f>
        <v>0.3849303297782918</v>
      </c>
    </row>
    <row r="17" spans="1:8" ht="12.75">
      <c r="A17" s="126" t="s">
        <v>13</v>
      </c>
      <c r="B17" s="9">
        <v>0</v>
      </c>
      <c r="C17" s="9">
        <v>1.49</v>
      </c>
      <c r="D17" s="9"/>
      <c r="E17" s="9">
        <f t="shared" si="0"/>
        <v>0.5</v>
      </c>
      <c r="F17" s="9">
        <f t="shared" si="0"/>
        <v>0.9318878820332746</v>
      </c>
      <c r="G17" s="128" t="s">
        <v>13</v>
      </c>
      <c r="H17" s="129">
        <f>+F17-E17</f>
        <v>0.43188788203327455</v>
      </c>
    </row>
    <row r="18" spans="1:8" ht="12.75">
      <c r="A18" s="126" t="s">
        <v>14</v>
      </c>
      <c r="B18" s="9">
        <v>-0.48</v>
      </c>
      <c r="C18" s="9">
        <v>0</v>
      </c>
      <c r="D18" s="9"/>
      <c r="E18" s="9">
        <f t="shared" si="0"/>
        <v>0.31561369651622256</v>
      </c>
      <c r="F18" s="9">
        <f t="shared" si="0"/>
        <v>0.5</v>
      </c>
      <c r="G18" s="128" t="s">
        <v>14</v>
      </c>
      <c r="H18" s="129">
        <f>+F18-E18</f>
        <v>0.18438630348377744</v>
      </c>
    </row>
    <row r="19" spans="1:8" ht="12.75">
      <c r="A19" s="126" t="s">
        <v>15</v>
      </c>
      <c r="B19" s="9">
        <v>-1.37</v>
      </c>
      <c r="C19" s="9">
        <v>1.33</v>
      </c>
      <c r="D19" s="9"/>
      <c r="E19" s="9">
        <f t="shared" si="0"/>
        <v>0.08534345082196694</v>
      </c>
      <c r="F19" s="9">
        <f t="shared" si="0"/>
        <v>0.9082408643497192</v>
      </c>
      <c r="G19" s="128" t="s">
        <v>15</v>
      </c>
      <c r="H19" s="129">
        <f>+F19-E19</f>
        <v>0.8228974135277523</v>
      </c>
    </row>
    <row r="20" spans="1:8" ht="13.5" thickBot="1">
      <c r="A20" s="130" t="s">
        <v>16</v>
      </c>
      <c r="B20" s="131">
        <v>1.33</v>
      </c>
      <c r="C20" s="131" t="s">
        <v>25</v>
      </c>
      <c r="D20" s="131"/>
      <c r="E20" s="131">
        <f>NORMSDIST(B20)</f>
        <v>0.9082408643497192</v>
      </c>
      <c r="F20" s="131">
        <v>1</v>
      </c>
      <c r="G20" s="132" t="s">
        <v>16</v>
      </c>
      <c r="H20" s="120">
        <f>+F20-E20</f>
        <v>0.09175913565028082</v>
      </c>
    </row>
  </sheetData>
  <sheetProtection/>
  <mergeCells count="1">
    <mergeCell ref="A3:H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1.8515625" style="0" customWidth="1"/>
    <col min="2" max="2" width="20.57421875" style="15" customWidth="1"/>
    <col min="3" max="3" width="22.28125" style="15" customWidth="1"/>
  </cols>
  <sheetData>
    <row r="1" ht="12.75">
      <c r="A1" s="2" t="s">
        <v>33</v>
      </c>
    </row>
    <row r="3" ht="13.5" thickBot="1"/>
    <row r="4" spans="1:3" ht="12.75">
      <c r="A4" s="18" t="s">
        <v>34</v>
      </c>
      <c r="B4" s="113" t="s">
        <v>12</v>
      </c>
      <c r="C4" s="114" t="s">
        <v>13</v>
      </c>
    </row>
    <row r="5" spans="1:3" ht="12.75">
      <c r="A5" s="21" t="s">
        <v>37</v>
      </c>
      <c r="B5" s="57" t="s">
        <v>35</v>
      </c>
      <c r="C5" s="115" t="s">
        <v>36</v>
      </c>
    </row>
    <row r="6" spans="1:3" ht="12.75">
      <c r="A6" s="21"/>
      <c r="B6" s="57"/>
      <c r="C6" s="115"/>
    </row>
    <row r="7" spans="1:3" ht="12.75">
      <c r="A7" s="21" t="s">
        <v>38</v>
      </c>
      <c r="B7" s="57"/>
      <c r="C7" s="115"/>
    </row>
    <row r="8" spans="1:3" ht="12.75">
      <c r="A8" s="21" t="s">
        <v>39</v>
      </c>
      <c r="B8" s="116">
        <v>0.304</v>
      </c>
      <c r="C8" s="117">
        <f>+B8</f>
        <v>0.304</v>
      </c>
    </row>
    <row r="9" spans="1:3" ht="12.75">
      <c r="A9" s="21" t="s">
        <v>40</v>
      </c>
      <c r="B9" s="116">
        <v>0.322</v>
      </c>
      <c r="C9" s="117">
        <f>+B9</f>
        <v>0.322</v>
      </c>
    </row>
    <row r="10" spans="1:3" ht="12.75">
      <c r="A10" s="21"/>
      <c r="B10" s="116"/>
      <c r="C10" s="117"/>
    </row>
    <row r="11" spans="1:3" ht="12.75">
      <c r="A11" s="21" t="s">
        <v>41</v>
      </c>
      <c r="B11" s="116">
        <v>0.3015</v>
      </c>
      <c r="C11" s="117">
        <v>0.3146</v>
      </c>
    </row>
    <row r="12" spans="1:3" ht="12.75">
      <c r="A12" s="21" t="s">
        <v>0</v>
      </c>
      <c r="B12" s="116">
        <v>0.0016</v>
      </c>
      <c r="C12" s="117">
        <v>0.003</v>
      </c>
    </row>
    <row r="13" spans="1:3" ht="12.75">
      <c r="A13" s="21"/>
      <c r="B13" s="57"/>
      <c r="C13" s="115"/>
    </row>
    <row r="14" spans="1:3" ht="12.75">
      <c r="A14" s="21" t="s">
        <v>42</v>
      </c>
      <c r="B14" s="57"/>
      <c r="C14" s="115"/>
    </row>
    <row r="15" spans="1:3" ht="12.75">
      <c r="A15" s="21" t="s">
        <v>43</v>
      </c>
      <c r="B15" s="116">
        <f>NORMDIST(B8,B11,B12,1)</f>
        <v>0.9409148770673326</v>
      </c>
      <c r="C15" s="117">
        <f>NORMDIST(C8,C11,C12,1)</f>
        <v>0.00020517736570513264</v>
      </c>
    </row>
    <row r="16" spans="1:3" ht="12.75">
      <c r="A16" s="21" t="s">
        <v>44</v>
      </c>
      <c r="B16" s="116">
        <f>1-NORMDIST(B9,B11,B12,1)</f>
        <v>0</v>
      </c>
      <c r="C16" s="117">
        <f>1-NORMDIST(C9,C11,C12,1)</f>
        <v>0.006818862270176029</v>
      </c>
    </row>
    <row r="17" spans="1:3" ht="12.75">
      <c r="A17" s="21"/>
      <c r="B17" s="57"/>
      <c r="C17" s="115"/>
    </row>
    <row r="18" spans="1:3" ht="13.5" thickBot="1">
      <c r="A18" s="118" t="s">
        <v>45</v>
      </c>
      <c r="B18" s="119">
        <f>SUM(B15:B17)</f>
        <v>0.9409148770673326</v>
      </c>
      <c r="C18" s="120">
        <f>SUM(C15:C17)</f>
        <v>0.007024039635881162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2">
      <selection activeCell="J38" sqref="J38"/>
    </sheetView>
  </sheetViews>
  <sheetFormatPr defaultColWidth="11.421875" defaultRowHeight="12.75"/>
  <cols>
    <col min="1" max="1" width="11.421875" style="0" customWidth="1"/>
    <col min="2" max="2" width="11.8515625" style="0" bestFit="1" customWidth="1"/>
    <col min="3" max="5" width="11.421875" style="0" customWidth="1"/>
    <col min="6" max="6" width="11.28125" style="0" customWidth="1"/>
    <col min="7" max="7" width="11.421875" style="0" customWidth="1"/>
    <col min="8" max="8" width="15.57421875" style="0" customWidth="1"/>
  </cols>
  <sheetData>
    <row r="1" ht="12.75">
      <c r="A1" s="2" t="s">
        <v>46</v>
      </c>
    </row>
    <row r="2" ht="13.5" thickBot="1"/>
    <row r="3" spans="1:6" ht="12.75">
      <c r="A3" s="18" t="s">
        <v>47</v>
      </c>
      <c r="B3" s="19"/>
      <c r="C3" s="19"/>
      <c r="D3" s="19"/>
      <c r="E3" s="19"/>
      <c r="F3" s="20"/>
    </row>
    <row r="4" spans="1:10" ht="12.75">
      <c r="A4" s="21"/>
      <c r="B4" s="3"/>
      <c r="C4" s="3"/>
      <c r="D4" s="3"/>
      <c r="E4" s="3"/>
      <c r="F4" s="22"/>
      <c r="G4" s="35" t="s">
        <v>82</v>
      </c>
      <c r="H4" s="35"/>
      <c r="I4" s="35"/>
      <c r="J4" s="35"/>
    </row>
    <row r="5" spans="1:6" ht="12.75">
      <c r="A5" s="23" t="s">
        <v>48</v>
      </c>
      <c r="B5" s="3"/>
      <c r="C5" s="3" t="s">
        <v>49</v>
      </c>
      <c r="D5" s="3"/>
      <c r="E5" s="27">
        <v>90000</v>
      </c>
      <c r="F5" s="22"/>
    </row>
    <row r="6" spans="1:6" ht="12.75">
      <c r="A6" s="21"/>
      <c r="B6" s="3"/>
      <c r="C6" s="16" t="s">
        <v>50</v>
      </c>
      <c r="D6" s="16"/>
      <c r="E6" s="28">
        <v>10000</v>
      </c>
      <c r="F6" s="22"/>
    </row>
    <row r="7" spans="1:6" ht="12.75">
      <c r="A7" s="21"/>
      <c r="B7" s="3"/>
      <c r="C7" s="3" t="s">
        <v>51</v>
      </c>
      <c r="D7" s="3"/>
      <c r="E7" s="17">
        <f>SUM(E5:E6)</f>
        <v>100000</v>
      </c>
      <c r="F7" s="22"/>
    </row>
    <row r="8" spans="1:6" ht="12.75">
      <c r="A8" s="21"/>
      <c r="B8" s="3"/>
      <c r="C8" s="3"/>
      <c r="D8" s="3"/>
      <c r="E8" s="3"/>
      <c r="F8" s="22"/>
    </row>
    <row r="9" spans="1:7" ht="12.75">
      <c r="A9" s="21" t="s">
        <v>52</v>
      </c>
      <c r="B9" s="3"/>
      <c r="C9" s="3"/>
      <c r="D9" s="3"/>
      <c r="E9" s="27">
        <v>10000</v>
      </c>
      <c r="F9" s="22"/>
      <c r="G9" t="s">
        <v>53</v>
      </c>
    </row>
    <row r="10" spans="1:7" ht="12.75">
      <c r="A10" s="21"/>
      <c r="B10" s="3"/>
      <c r="C10" s="3"/>
      <c r="D10" s="3"/>
      <c r="E10" s="3"/>
      <c r="F10" s="22"/>
      <c r="G10" t="s">
        <v>54</v>
      </c>
    </row>
    <row r="11" spans="1:7" ht="12.75">
      <c r="A11" s="21"/>
      <c r="B11" s="3"/>
      <c r="C11" s="3"/>
      <c r="D11" s="3"/>
      <c r="E11" s="3"/>
      <c r="F11" s="22"/>
      <c r="G11" t="s">
        <v>55</v>
      </c>
    </row>
    <row r="12" spans="1:6" ht="12.75">
      <c r="A12" s="21" t="s">
        <v>61</v>
      </c>
      <c r="B12" s="3"/>
      <c r="C12" s="3"/>
      <c r="D12" s="3"/>
      <c r="E12" s="17"/>
      <c r="F12" s="22"/>
    </row>
    <row r="13" spans="1:6" ht="12.75">
      <c r="A13" s="21"/>
      <c r="B13" s="3" t="s">
        <v>60</v>
      </c>
      <c r="C13" s="3"/>
      <c r="D13" s="3"/>
      <c r="E13" s="27">
        <v>30000</v>
      </c>
      <c r="F13" s="22"/>
    </row>
    <row r="14" spans="1:6" ht="12.75">
      <c r="A14" s="21"/>
      <c r="B14" s="3" t="s">
        <v>59</v>
      </c>
      <c r="C14" s="3"/>
      <c r="D14" s="3"/>
      <c r="E14" s="28">
        <v>0</v>
      </c>
      <c r="F14" s="22"/>
    </row>
    <row r="15" spans="1:6" ht="12.75">
      <c r="A15" s="21"/>
      <c r="B15" s="3" t="s">
        <v>62</v>
      </c>
      <c r="C15" s="3"/>
      <c r="D15" s="3"/>
      <c r="E15" s="17">
        <f>SUM(E13:E14)</f>
        <v>30000</v>
      </c>
      <c r="F15" s="22"/>
    </row>
    <row r="16" spans="1:6" ht="12.75">
      <c r="A16" s="21"/>
      <c r="B16" s="3"/>
      <c r="C16" s="3"/>
      <c r="D16" s="3"/>
      <c r="E16" s="3"/>
      <c r="F16" s="22"/>
    </row>
    <row r="17" spans="1:6" ht="12.75">
      <c r="A17" s="21" t="s">
        <v>56</v>
      </c>
      <c r="B17" s="3"/>
      <c r="C17" s="3"/>
      <c r="D17" s="3"/>
      <c r="E17" s="29">
        <v>10</v>
      </c>
      <c r="F17" s="22" t="s">
        <v>57</v>
      </c>
    </row>
    <row r="18" spans="1:6" ht="12.75">
      <c r="A18" s="21" t="s">
        <v>58</v>
      </c>
      <c r="B18" s="3"/>
      <c r="C18" s="3"/>
      <c r="D18" s="3"/>
      <c r="E18" s="27">
        <v>0</v>
      </c>
      <c r="F18" s="22"/>
    </row>
    <row r="19" spans="1:6" ht="12.75">
      <c r="A19" s="21"/>
      <c r="B19" s="3"/>
      <c r="C19" s="3"/>
      <c r="D19" s="3"/>
      <c r="E19" s="3"/>
      <c r="F19" s="22"/>
    </row>
    <row r="20" spans="1:6" ht="12.75">
      <c r="A20" s="21" t="s">
        <v>77</v>
      </c>
      <c r="B20" s="3"/>
      <c r="C20" s="3"/>
      <c r="D20" s="3"/>
      <c r="E20" s="30">
        <v>0.1</v>
      </c>
      <c r="F20" s="22" t="s">
        <v>78</v>
      </c>
    </row>
    <row r="21" spans="1:6" ht="13.5" thickBot="1">
      <c r="A21" s="24"/>
      <c r="B21" s="25"/>
      <c r="C21" s="25"/>
      <c r="D21" s="25"/>
      <c r="E21" s="25"/>
      <c r="F21" s="26"/>
    </row>
    <row r="24" ht="12.75">
      <c r="A24" t="s">
        <v>66</v>
      </c>
    </row>
    <row r="25" spans="1:2" ht="12.75">
      <c r="A25" s="32" t="s">
        <v>70</v>
      </c>
      <c r="B25" s="32" t="s">
        <v>71</v>
      </c>
    </row>
    <row r="26" s="25" customFormat="1" ht="13.5" thickBot="1"/>
    <row r="27" spans="1:8" s="106" customFormat="1" ht="25.5">
      <c r="A27" s="104" t="s">
        <v>63</v>
      </c>
      <c r="B27" s="105" t="s">
        <v>64</v>
      </c>
      <c r="C27" s="106" t="s">
        <v>65</v>
      </c>
      <c r="D27" s="106" t="s">
        <v>67</v>
      </c>
      <c r="E27" s="106" t="s">
        <v>69</v>
      </c>
      <c r="F27" s="107" t="s">
        <v>68</v>
      </c>
      <c r="G27" s="106" t="s">
        <v>79</v>
      </c>
      <c r="H27" s="108" t="s">
        <v>80</v>
      </c>
    </row>
    <row r="28" spans="1:8" ht="12.75">
      <c r="A28" s="36"/>
      <c r="B28" s="44"/>
      <c r="C28" s="37"/>
      <c r="D28" s="37"/>
      <c r="E28" s="37"/>
      <c r="F28" s="42"/>
      <c r="G28" s="3"/>
      <c r="H28" s="1"/>
    </row>
    <row r="29" spans="1:8" ht="12.75">
      <c r="A29" s="36">
        <v>0</v>
      </c>
      <c r="B29" s="44">
        <f>-E7</f>
        <v>-100000</v>
      </c>
      <c r="C29" s="37"/>
      <c r="D29" s="37"/>
      <c r="E29" s="37"/>
      <c r="F29" s="42">
        <f>SUM(B29:E29)</f>
        <v>-100000</v>
      </c>
      <c r="G29" s="45">
        <f>(1+$E$20)^(-A29)</f>
        <v>1</v>
      </c>
      <c r="H29" s="38">
        <f>+F29*G29</f>
        <v>-100000</v>
      </c>
    </row>
    <row r="30" spans="1:8" ht="12.75">
      <c r="A30" s="36">
        <f>+A29+1</f>
        <v>1</v>
      </c>
      <c r="B30" s="44"/>
      <c r="C30" s="37">
        <f>IF($A30&gt;$E$17,0,$E$15)</f>
        <v>30000</v>
      </c>
      <c r="D30" s="37">
        <f>IF($A30&gt;$E$17,0,-$E$9)</f>
        <v>-10000</v>
      </c>
      <c r="E30" s="37">
        <f>IF(A30=($E$17+1),$E$18,0)</f>
        <v>0</v>
      </c>
      <c r="F30" s="42">
        <f>SUM(B30:E30)</f>
        <v>20000</v>
      </c>
      <c r="G30" s="45">
        <f>(1+$E$20)^(-A30)</f>
        <v>0.9090909090909091</v>
      </c>
      <c r="H30" s="38">
        <f aca="true" t="shared" si="0" ref="H30:H49">+F30*G30</f>
        <v>18181.81818181818</v>
      </c>
    </row>
    <row r="31" spans="1:8" ht="12.75">
      <c r="A31" s="36">
        <f aca="true" t="shared" si="1" ref="A31:A49">+A30+1</f>
        <v>2</v>
      </c>
      <c r="B31" s="44"/>
      <c r="C31" s="37">
        <f aca="true" t="shared" si="2" ref="C31:C49">IF($A31&gt;$E$17,0,$E$15)</f>
        <v>30000</v>
      </c>
      <c r="D31" s="37">
        <f aca="true" t="shared" si="3" ref="D31:D49">IF($A31&gt;$E$17,0,-$E$9)</f>
        <v>-10000</v>
      </c>
      <c r="E31" s="37">
        <f aca="true" t="shared" si="4" ref="E31:E49">IF(A31=($E$17+1),$E$18,0)</f>
        <v>0</v>
      </c>
      <c r="F31" s="42">
        <f aca="true" t="shared" si="5" ref="F31:F49">SUM(B31:E31)</f>
        <v>20000</v>
      </c>
      <c r="G31" s="45">
        <f aca="true" t="shared" si="6" ref="G31:G49">(1+$E$20)^(-A31)</f>
        <v>0.8264462809917354</v>
      </c>
      <c r="H31" s="38">
        <f t="shared" si="0"/>
        <v>16528.92561983471</v>
      </c>
    </row>
    <row r="32" spans="1:8" ht="12.75">
      <c r="A32" s="36">
        <f t="shared" si="1"/>
        <v>3</v>
      </c>
      <c r="B32" s="44"/>
      <c r="C32" s="37">
        <f t="shared" si="2"/>
        <v>30000</v>
      </c>
      <c r="D32" s="37">
        <f t="shared" si="3"/>
        <v>-10000</v>
      </c>
      <c r="E32" s="37">
        <f t="shared" si="4"/>
        <v>0</v>
      </c>
      <c r="F32" s="42">
        <f t="shared" si="5"/>
        <v>20000</v>
      </c>
      <c r="G32" s="45">
        <f t="shared" si="6"/>
        <v>0.7513148009015775</v>
      </c>
      <c r="H32" s="38">
        <f t="shared" si="0"/>
        <v>15026.296018031551</v>
      </c>
    </row>
    <row r="33" spans="1:8" ht="12.75">
      <c r="A33" s="36">
        <f t="shared" si="1"/>
        <v>4</v>
      </c>
      <c r="B33" s="44"/>
      <c r="C33" s="37">
        <f t="shared" si="2"/>
        <v>30000</v>
      </c>
      <c r="D33" s="37">
        <f t="shared" si="3"/>
        <v>-10000</v>
      </c>
      <c r="E33" s="37">
        <f t="shared" si="4"/>
        <v>0</v>
      </c>
      <c r="F33" s="42">
        <f t="shared" si="5"/>
        <v>20000</v>
      </c>
      <c r="G33" s="45">
        <f t="shared" si="6"/>
        <v>0.6830134553650705</v>
      </c>
      <c r="H33" s="38">
        <f t="shared" si="0"/>
        <v>13660.26910730141</v>
      </c>
    </row>
    <row r="34" spans="1:8" ht="12.75">
      <c r="A34" s="36">
        <f t="shared" si="1"/>
        <v>5</v>
      </c>
      <c r="B34" s="44"/>
      <c r="C34" s="37">
        <f t="shared" si="2"/>
        <v>30000</v>
      </c>
      <c r="D34" s="37">
        <f t="shared" si="3"/>
        <v>-10000</v>
      </c>
      <c r="E34" s="37">
        <f t="shared" si="4"/>
        <v>0</v>
      </c>
      <c r="F34" s="42">
        <f t="shared" si="5"/>
        <v>20000</v>
      </c>
      <c r="G34" s="45">
        <f t="shared" si="6"/>
        <v>0.6209213230591549</v>
      </c>
      <c r="H34" s="38">
        <f t="shared" si="0"/>
        <v>12418.426461183099</v>
      </c>
    </row>
    <row r="35" spans="1:8" ht="12.75">
      <c r="A35" s="36">
        <f t="shared" si="1"/>
        <v>6</v>
      </c>
      <c r="B35" s="44"/>
      <c r="C35" s="37">
        <f t="shared" si="2"/>
        <v>30000</v>
      </c>
      <c r="D35" s="37">
        <f t="shared" si="3"/>
        <v>-10000</v>
      </c>
      <c r="E35" s="37">
        <f t="shared" si="4"/>
        <v>0</v>
      </c>
      <c r="F35" s="42">
        <f t="shared" si="5"/>
        <v>20000</v>
      </c>
      <c r="G35" s="45">
        <f t="shared" si="6"/>
        <v>0.5644739300537772</v>
      </c>
      <c r="H35" s="38">
        <f t="shared" si="0"/>
        <v>11289.478601075545</v>
      </c>
    </row>
    <row r="36" spans="1:8" ht="12.75">
      <c r="A36" s="36">
        <f t="shared" si="1"/>
        <v>7</v>
      </c>
      <c r="B36" s="44"/>
      <c r="C36" s="37">
        <f t="shared" si="2"/>
        <v>30000</v>
      </c>
      <c r="D36" s="37">
        <f t="shared" si="3"/>
        <v>-10000</v>
      </c>
      <c r="E36" s="37">
        <f t="shared" si="4"/>
        <v>0</v>
      </c>
      <c r="F36" s="42">
        <f t="shared" si="5"/>
        <v>20000</v>
      </c>
      <c r="G36" s="45">
        <f t="shared" si="6"/>
        <v>0.5131581182307065</v>
      </c>
      <c r="H36" s="38">
        <f t="shared" si="0"/>
        <v>10263.162364614129</v>
      </c>
    </row>
    <row r="37" spans="1:8" ht="12.75">
      <c r="A37" s="36">
        <f t="shared" si="1"/>
        <v>8</v>
      </c>
      <c r="B37" s="44"/>
      <c r="C37" s="37">
        <f t="shared" si="2"/>
        <v>30000</v>
      </c>
      <c r="D37" s="37">
        <f t="shared" si="3"/>
        <v>-10000</v>
      </c>
      <c r="E37" s="37">
        <f t="shared" si="4"/>
        <v>0</v>
      </c>
      <c r="F37" s="42">
        <f t="shared" si="5"/>
        <v>20000</v>
      </c>
      <c r="G37" s="45">
        <f t="shared" si="6"/>
        <v>0.46650738020973315</v>
      </c>
      <c r="H37" s="38">
        <f t="shared" si="0"/>
        <v>9330.147604194663</v>
      </c>
    </row>
    <row r="38" spans="1:8" ht="12.75">
      <c r="A38" s="36">
        <f t="shared" si="1"/>
        <v>9</v>
      </c>
      <c r="B38" s="44"/>
      <c r="C38" s="37">
        <f t="shared" si="2"/>
        <v>30000</v>
      </c>
      <c r="D38" s="37">
        <f t="shared" si="3"/>
        <v>-10000</v>
      </c>
      <c r="E38" s="37">
        <f t="shared" si="4"/>
        <v>0</v>
      </c>
      <c r="F38" s="42">
        <f t="shared" si="5"/>
        <v>20000</v>
      </c>
      <c r="G38" s="45">
        <f t="shared" si="6"/>
        <v>0.42409761837248466</v>
      </c>
      <c r="H38" s="38">
        <f t="shared" si="0"/>
        <v>8481.952367449694</v>
      </c>
    </row>
    <row r="39" spans="1:8" ht="12.75">
      <c r="A39" s="36">
        <f t="shared" si="1"/>
        <v>10</v>
      </c>
      <c r="B39" s="44"/>
      <c r="C39" s="37">
        <f t="shared" si="2"/>
        <v>30000</v>
      </c>
      <c r="D39" s="37">
        <f t="shared" si="3"/>
        <v>-10000</v>
      </c>
      <c r="E39" s="37">
        <f t="shared" si="4"/>
        <v>0</v>
      </c>
      <c r="F39" s="42">
        <f t="shared" si="5"/>
        <v>20000</v>
      </c>
      <c r="G39" s="45">
        <f t="shared" si="6"/>
        <v>0.3855432894295315</v>
      </c>
      <c r="H39" s="38">
        <f t="shared" si="0"/>
        <v>7710.86578859063</v>
      </c>
    </row>
    <row r="40" spans="1:8" ht="12.75">
      <c r="A40" s="36">
        <f t="shared" si="1"/>
        <v>11</v>
      </c>
      <c r="B40" s="44"/>
      <c r="C40" s="37">
        <f t="shared" si="2"/>
        <v>0</v>
      </c>
      <c r="D40" s="37">
        <f t="shared" si="3"/>
        <v>0</v>
      </c>
      <c r="E40" s="37">
        <f t="shared" si="4"/>
        <v>0</v>
      </c>
      <c r="F40" s="42">
        <f t="shared" si="5"/>
        <v>0</v>
      </c>
      <c r="G40" s="45">
        <f t="shared" si="6"/>
        <v>0.3504938994813922</v>
      </c>
      <c r="H40" s="38">
        <f t="shared" si="0"/>
        <v>0</v>
      </c>
    </row>
    <row r="41" spans="1:8" ht="12.75">
      <c r="A41" s="36">
        <f t="shared" si="1"/>
        <v>12</v>
      </c>
      <c r="B41" s="44"/>
      <c r="C41" s="37">
        <f t="shared" si="2"/>
        <v>0</v>
      </c>
      <c r="D41" s="37">
        <f t="shared" si="3"/>
        <v>0</v>
      </c>
      <c r="E41" s="37">
        <f t="shared" si="4"/>
        <v>0</v>
      </c>
      <c r="F41" s="42">
        <f t="shared" si="5"/>
        <v>0</v>
      </c>
      <c r="G41" s="45">
        <f t="shared" si="6"/>
        <v>0.31863081771035656</v>
      </c>
      <c r="H41" s="38">
        <f t="shared" si="0"/>
        <v>0</v>
      </c>
    </row>
    <row r="42" spans="1:8" ht="12.75">
      <c r="A42" s="36">
        <f t="shared" si="1"/>
        <v>13</v>
      </c>
      <c r="B42" s="44"/>
      <c r="C42" s="37">
        <f t="shared" si="2"/>
        <v>0</v>
      </c>
      <c r="D42" s="37">
        <f t="shared" si="3"/>
        <v>0</v>
      </c>
      <c r="E42" s="37">
        <f t="shared" si="4"/>
        <v>0</v>
      </c>
      <c r="F42" s="42">
        <f t="shared" si="5"/>
        <v>0</v>
      </c>
      <c r="G42" s="45">
        <f t="shared" si="6"/>
        <v>0.2896643797366878</v>
      </c>
      <c r="H42" s="38">
        <f t="shared" si="0"/>
        <v>0</v>
      </c>
    </row>
    <row r="43" spans="1:8" ht="12.75">
      <c r="A43" s="36">
        <f t="shared" si="1"/>
        <v>14</v>
      </c>
      <c r="B43" s="44"/>
      <c r="C43" s="37">
        <f t="shared" si="2"/>
        <v>0</v>
      </c>
      <c r="D43" s="37">
        <f t="shared" si="3"/>
        <v>0</v>
      </c>
      <c r="E43" s="37">
        <f t="shared" si="4"/>
        <v>0</v>
      </c>
      <c r="F43" s="42">
        <f t="shared" si="5"/>
        <v>0</v>
      </c>
      <c r="G43" s="45">
        <f t="shared" si="6"/>
        <v>0.26333125430607973</v>
      </c>
      <c r="H43" s="38">
        <f t="shared" si="0"/>
        <v>0</v>
      </c>
    </row>
    <row r="44" spans="1:8" ht="12.75">
      <c r="A44" s="36">
        <f t="shared" si="1"/>
        <v>15</v>
      </c>
      <c r="B44" s="44"/>
      <c r="C44" s="37">
        <f t="shared" si="2"/>
        <v>0</v>
      </c>
      <c r="D44" s="37">
        <f t="shared" si="3"/>
        <v>0</v>
      </c>
      <c r="E44" s="37">
        <f t="shared" si="4"/>
        <v>0</v>
      </c>
      <c r="F44" s="42">
        <f t="shared" si="5"/>
        <v>0</v>
      </c>
      <c r="G44" s="45">
        <f t="shared" si="6"/>
        <v>0.2393920493691634</v>
      </c>
      <c r="H44" s="38">
        <f t="shared" si="0"/>
        <v>0</v>
      </c>
    </row>
    <row r="45" spans="1:8" ht="12.75">
      <c r="A45" s="36">
        <f t="shared" si="1"/>
        <v>16</v>
      </c>
      <c r="B45" s="44"/>
      <c r="C45" s="37">
        <f t="shared" si="2"/>
        <v>0</v>
      </c>
      <c r="D45" s="37">
        <f t="shared" si="3"/>
        <v>0</v>
      </c>
      <c r="E45" s="37">
        <f t="shared" si="4"/>
        <v>0</v>
      </c>
      <c r="F45" s="42">
        <f t="shared" si="5"/>
        <v>0</v>
      </c>
      <c r="G45" s="45">
        <f t="shared" si="6"/>
        <v>0.21762913579014853</v>
      </c>
      <c r="H45" s="38">
        <f t="shared" si="0"/>
        <v>0</v>
      </c>
    </row>
    <row r="46" spans="1:8" ht="12.75">
      <c r="A46" s="36">
        <f t="shared" si="1"/>
        <v>17</v>
      </c>
      <c r="B46" s="44"/>
      <c r="C46" s="37">
        <f t="shared" si="2"/>
        <v>0</v>
      </c>
      <c r="D46" s="37">
        <f t="shared" si="3"/>
        <v>0</v>
      </c>
      <c r="E46" s="37">
        <f t="shared" si="4"/>
        <v>0</v>
      </c>
      <c r="F46" s="42">
        <f t="shared" si="5"/>
        <v>0</v>
      </c>
      <c r="G46" s="45">
        <f t="shared" si="6"/>
        <v>0.19784466890013502</v>
      </c>
      <c r="H46" s="38">
        <f t="shared" si="0"/>
        <v>0</v>
      </c>
    </row>
    <row r="47" spans="1:8" ht="12.75">
      <c r="A47" s="36">
        <f t="shared" si="1"/>
        <v>18</v>
      </c>
      <c r="B47" s="44"/>
      <c r="C47" s="37">
        <f t="shared" si="2"/>
        <v>0</v>
      </c>
      <c r="D47" s="37">
        <f t="shared" si="3"/>
        <v>0</v>
      </c>
      <c r="E47" s="37">
        <f t="shared" si="4"/>
        <v>0</v>
      </c>
      <c r="F47" s="42">
        <f t="shared" si="5"/>
        <v>0</v>
      </c>
      <c r="G47" s="45">
        <f t="shared" si="6"/>
        <v>0.17985878990921364</v>
      </c>
      <c r="H47" s="38">
        <f t="shared" si="0"/>
        <v>0</v>
      </c>
    </row>
    <row r="48" spans="1:8" ht="12.75">
      <c r="A48" s="36">
        <f t="shared" si="1"/>
        <v>19</v>
      </c>
      <c r="B48" s="44"/>
      <c r="C48" s="37">
        <f t="shared" si="2"/>
        <v>0</v>
      </c>
      <c r="D48" s="37">
        <f t="shared" si="3"/>
        <v>0</v>
      </c>
      <c r="E48" s="37">
        <f t="shared" si="4"/>
        <v>0</v>
      </c>
      <c r="F48" s="42">
        <f t="shared" si="5"/>
        <v>0</v>
      </c>
      <c r="G48" s="45">
        <f t="shared" si="6"/>
        <v>0.16350799082655781</v>
      </c>
      <c r="H48" s="38">
        <f t="shared" si="0"/>
        <v>0</v>
      </c>
    </row>
    <row r="49" spans="1:8" ht="12.75">
      <c r="A49" s="36">
        <f t="shared" si="1"/>
        <v>20</v>
      </c>
      <c r="B49" s="44"/>
      <c r="C49" s="37">
        <f t="shared" si="2"/>
        <v>0</v>
      </c>
      <c r="D49" s="37">
        <f t="shared" si="3"/>
        <v>0</v>
      </c>
      <c r="E49" s="37">
        <f t="shared" si="4"/>
        <v>0</v>
      </c>
      <c r="F49" s="42">
        <f t="shared" si="5"/>
        <v>0</v>
      </c>
      <c r="G49" s="45">
        <f t="shared" si="6"/>
        <v>0.1486436280241435</v>
      </c>
      <c r="H49" s="38">
        <f t="shared" si="0"/>
        <v>0</v>
      </c>
    </row>
    <row r="50" spans="2:8" s="39" customFormat="1" ht="12.75">
      <c r="B50" s="46"/>
      <c r="C50" s="40"/>
      <c r="D50" s="40"/>
      <c r="E50" s="40"/>
      <c r="F50" s="43"/>
      <c r="H50" s="47"/>
    </row>
    <row r="51" spans="1:8" s="25" customFormat="1" ht="13.5" thickBot="1">
      <c r="A51" s="25" t="s">
        <v>81</v>
      </c>
      <c r="B51" s="109">
        <f>SUM(B29:B50)</f>
        <v>-100000</v>
      </c>
      <c r="C51" s="110">
        <f>SUM(C29:C50)</f>
        <v>300000</v>
      </c>
      <c r="D51" s="110">
        <f>SUM(D29:D50)</f>
        <v>-100000</v>
      </c>
      <c r="E51" s="110">
        <f>SUM(E29:E50)</f>
        <v>0</v>
      </c>
      <c r="F51" s="111">
        <f>SUM(F29:F50)</f>
        <v>100000</v>
      </c>
      <c r="H51" s="112">
        <f>SUM(H29:H50)</f>
        <v>22891.342114093604</v>
      </c>
    </row>
    <row r="52" spans="5:8" ht="12.75">
      <c r="E52" s="83" t="s">
        <v>130</v>
      </c>
      <c r="F52" s="52">
        <f>IRR(F28:F48)</f>
        <v>0.15098414477112576</v>
      </c>
      <c r="G52" s="83" t="s">
        <v>131</v>
      </c>
      <c r="H52" s="31">
        <f>NPV($E$20,F30:F49)+F29</f>
        <v>22891.342114093597</v>
      </c>
    </row>
    <row r="53" ht="12.75">
      <c r="F53" s="52"/>
    </row>
    <row r="54" spans="1:5" ht="12.75">
      <c r="A54" s="33" t="s">
        <v>72</v>
      </c>
      <c r="B54" s="34"/>
      <c r="C54" s="34"/>
      <c r="D54" s="34"/>
      <c r="E54" s="34"/>
    </row>
    <row r="55" spans="1:5" ht="12.75">
      <c r="A55" s="34"/>
      <c r="B55" s="34"/>
      <c r="C55" s="34"/>
      <c r="D55" s="34"/>
      <c r="E55" s="34"/>
    </row>
    <row r="56" spans="1:5" ht="12.75">
      <c r="A56" s="34" t="s">
        <v>73</v>
      </c>
      <c r="B56" s="34"/>
      <c r="C56" s="34"/>
      <c r="D56" s="34"/>
      <c r="E56" s="34"/>
    </row>
    <row r="57" spans="1:5" ht="12.75">
      <c r="A57" s="34" t="s">
        <v>74</v>
      </c>
      <c r="B57" s="34"/>
      <c r="C57" s="34"/>
      <c r="D57" s="34"/>
      <c r="E57" s="34"/>
    </row>
    <row r="58" spans="1:5" ht="12.75">
      <c r="A58" s="34" t="s">
        <v>75</v>
      </c>
      <c r="B58" s="34"/>
      <c r="C58" s="34"/>
      <c r="D58" s="34"/>
      <c r="E58" s="34"/>
    </row>
    <row r="59" spans="1:5" ht="12.75">
      <c r="A59" s="34" t="s">
        <v>76</v>
      </c>
      <c r="B59" s="34"/>
      <c r="C59" s="34"/>
      <c r="D59" s="34"/>
      <c r="E59" s="34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4" width="11.421875" style="0" customWidth="1"/>
    <col min="5" max="5" width="13.8515625" style="0" customWidth="1"/>
  </cols>
  <sheetData>
    <row r="1" ht="12.75">
      <c r="A1" s="2" t="s">
        <v>107</v>
      </c>
    </row>
    <row r="3" ht="13.5" thickBot="1">
      <c r="A3" t="s">
        <v>113</v>
      </c>
    </row>
    <row r="4" spans="1:5" s="79" customFormat="1" ht="25.5">
      <c r="A4" s="91" t="s">
        <v>63</v>
      </c>
      <c r="B4" s="92" t="s">
        <v>108</v>
      </c>
      <c r="C4" s="92" t="s">
        <v>109</v>
      </c>
      <c r="D4" s="92" t="s">
        <v>110</v>
      </c>
      <c r="E4" s="93" t="s">
        <v>111</v>
      </c>
    </row>
    <row r="5" spans="1:6" ht="12.75">
      <c r="A5" s="94">
        <v>0</v>
      </c>
      <c r="B5" s="39">
        <v>-100</v>
      </c>
      <c r="C5" s="89"/>
      <c r="D5" s="90">
        <v>1</v>
      </c>
      <c r="E5" s="95">
        <f>+B5*D5</f>
        <v>-100</v>
      </c>
      <c r="F5" s="80"/>
    </row>
    <row r="6" spans="1:6" ht="12.75">
      <c r="A6" s="21">
        <v>1</v>
      </c>
      <c r="B6" s="3">
        <v>20</v>
      </c>
      <c r="C6" s="86">
        <v>0.02</v>
      </c>
      <c r="D6" s="87">
        <f>+D5/(1+C6)</f>
        <v>0.9803921568627451</v>
      </c>
      <c r="E6" s="96">
        <f>+B6*D6</f>
        <v>19.6078431372549</v>
      </c>
      <c r="F6" s="80"/>
    </row>
    <row r="7" spans="1:6" ht="12.75">
      <c r="A7" s="21">
        <v>2</v>
      </c>
      <c r="B7" s="3">
        <v>40</v>
      </c>
      <c r="C7" s="86">
        <v>0.02</v>
      </c>
      <c r="D7" s="87">
        <f>+D6/(1+C7)</f>
        <v>0.9611687812379853</v>
      </c>
      <c r="E7" s="96">
        <f>+B7*D7</f>
        <v>38.446751249519416</v>
      </c>
      <c r="F7" s="80"/>
    </row>
    <row r="8" spans="1:6" ht="12.75">
      <c r="A8" s="21">
        <v>3</v>
      </c>
      <c r="B8" s="3">
        <v>80</v>
      </c>
      <c r="C8" s="86">
        <v>0.02</v>
      </c>
      <c r="D8" s="87">
        <f>+D7/(1+C8)</f>
        <v>0.9423223345470444</v>
      </c>
      <c r="E8" s="96">
        <f>+B8*D8</f>
        <v>75.38578676376355</v>
      </c>
      <c r="F8" s="80"/>
    </row>
    <row r="9" spans="1:5" ht="12.75">
      <c r="A9" s="97">
        <v>4</v>
      </c>
      <c r="B9" s="16">
        <v>0</v>
      </c>
      <c r="C9" s="173">
        <v>0.02</v>
      </c>
      <c r="D9" s="174">
        <f>+D8/(1+C9)</f>
        <v>0.9238454260265141</v>
      </c>
      <c r="E9" s="175">
        <f>+B9*D9</f>
        <v>0</v>
      </c>
    </row>
    <row r="10" spans="1:5" ht="12.75">
      <c r="A10" s="21" t="s">
        <v>81</v>
      </c>
      <c r="B10" s="3">
        <f>SUM(B5:B9)</f>
        <v>40</v>
      </c>
      <c r="C10" s="3"/>
      <c r="D10" s="3"/>
      <c r="E10" s="101">
        <f>SUM(E5:E9)</f>
        <v>33.44038115053787</v>
      </c>
    </row>
    <row r="11" spans="1:5" ht="12.75">
      <c r="A11" s="94" t="s">
        <v>112</v>
      </c>
      <c r="B11" s="39"/>
      <c r="C11" s="39"/>
      <c r="D11" s="39"/>
      <c r="E11" s="99"/>
    </row>
    <row r="12" spans="1:5" ht="12.75">
      <c r="A12" s="100">
        <v>0</v>
      </c>
      <c r="B12" s="88">
        <f>+B$5+NPV($A12,B$6:B$9)</f>
        <v>40</v>
      </c>
      <c r="C12" s="3"/>
      <c r="D12" s="3"/>
      <c r="E12" s="101">
        <f>+E$5+NPV($A12,E$6:E$9)</f>
        <v>33.44038115053786</v>
      </c>
    </row>
    <row r="13" spans="1:5" ht="12.75">
      <c r="A13" s="100">
        <v>0.05</v>
      </c>
      <c r="B13" s="88">
        <f>+B$5+NPV($A13,B$6:B$9)</f>
        <v>24.435806068459115</v>
      </c>
      <c r="C13" s="3"/>
      <c r="D13" s="3"/>
      <c r="E13" s="101">
        <f>+E$5+NPV($A13,E$6:E$9)</f>
        <v>18.667550056868564</v>
      </c>
    </row>
    <row r="14" spans="1:5" ht="12.75">
      <c r="A14" s="100">
        <v>0.1</v>
      </c>
      <c r="B14" s="88">
        <f>+B$5+NPV($A14,B$6:B$9)</f>
        <v>11.344853493613812</v>
      </c>
      <c r="C14" s="3"/>
      <c r="D14" s="3"/>
      <c r="E14" s="101">
        <f>+E$5+NPV($A14,E$6:E$9)</f>
        <v>6.237943902564467</v>
      </c>
    </row>
    <row r="15" spans="1:5" ht="12.75">
      <c r="A15" s="100">
        <v>0.15</v>
      </c>
      <c r="B15" s="88">
        <f>+B$5+NPV($A15,B$6:B$9)</f>
        <v>0.2383496342566218</v>
      </c>
      <c r="C15" s="3"/>
      <c r="D15" s="3"/>
      <c r="E15" s="101">
        <f>+E$5+NPV($A15,E$6:E$9)</f>
        <v>-4.31105564248837</v>
      </c>
    </row>
    <row r="16" spans="1:5" ht="12.75">
      <c r="A16" s="100">
        <v>0.2</v>
      </c>
      <c r="B16" s="88">
        <f>+B$5+NPV($A16,B$6:B$9)</f>
        <v>-9.259259259259252</v>
      </c>
      <c r="C16" s="3"/>
      <c r="D16" s="3"/>
      <c r="E16" s="101">
        <f>+E$5+NPV($A16,E$6:E$9)</f>
        <v>-13.334963899980366</v>
      </c>
    </row>
    <row r="17" spans="1:5" ht="12.75">
      <c r="A17" s="97"/>
      <c r="B17" s="16"/>
      <c r="C17" s="16"/>
      <c r="D17" s="16"/>
      <c r="E17" s="98"/>
    </row>
    <row r="18" spans="1:5" ht="13.5" thickBot="1">
      <c r="A18" s="24" t="s">
        <v>91</v>
      </c>
      <c r="B18" s="102">
        <f>IRR(B5:B9)</f>
        <v>0.15116511233191976</v>
      </c>
      <c r="C18" s="25"/>
      <c r="D18" s="25"/>
      <c r="E18" s="103">
        <f>IRR(E5:E9)</f>
        <v>0.12859324738890554</v>
      </c>
    </row>
    <row r="21" ht="12.75">
      <c r="A21" t="s">
        <v>114</v>
      </c>
    </row>
    <row r="22" spans="1:2" ht="12.75">
      <c r="A22" t="s">
        <v>115</v>
      </c>
      <c r="B22" t="s">
        <v>116</v>
      </c>
    </row>
    <row r="23" spans="1:2" ht="12.75">
      <c r="A23" t="s">
        <v>117</v>
      </c>
      <c r="B23" s="81">
        <f>+E14</f>
        <v>6.237943902564467</v>
      </c>
    </row>
    <row r="24" spans="1:2" ht="12.75">
      <c r="A24" t="s">
        <v>118</v>
      </c>
      <c r="B24" t="s">
        <v>121</v>
      </c>
    </row>
    <row r="25" spans="1:2" ht="12.75">
      <c r="A25" t="s">
        <v>119</v>
      </c>
      <c r="B25" t="s">
        <v>122</v>
      </c>
    </row>
    <row r="26" spans="1:8" ht="12.75">
      <c r="A26" t="s">
        <v>120</v>
      </c>
      <c r="B26" t="s">
        <v>123</v>
      </c>
      <c r="H26" s="82" t="s">
        <v>177</v>
      </c>
    </row>
    <row r="27" spans="1:2" ht="12.75">
      <c r="A27" t="s">
        <v>175</v>
      </c>
      <c r="B27" t="s">
        <v>178</v>
      </c>
    </row>
    <row r="28" spans="1:2" ht="12.75">
      <c r="A28" t="s">
        <v>176</v>
      </c>
      <c r="B28" t="s">
        <v>179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22" sqref="L21:L22"/>
    </sheetView>
  </sheetViews>
  <sheetFormatPr defaultColWidth="11.421875" defaultRowHeight="12.75"/>
  <sheetData>
    <row r="1" ht="12.75">
      <c r="A1" s="2" t="s">
        <v>124</v>
      </c>
    </row>
    <row r="4" ht="12.75">
      <c r="A4" t="s">
        <v>126</v>
      </c>
    </row>
    <row r="6" spans="1:3" ht="12.75">
      <c r="A6" t="s">
        <v>135</v>
      </c>
      <c r="C6" s="164">
        <v>0.14</v>
      </c>
    </row>
    <row r="7" ht="12.75">
      <c r="A7" s="32" t="s">
        <v>125</v>
      </c>
    </row>
    <row r="8" spans="1:8" ht="12.75">
      <c r="A8" t="s">
        <v>64</v>
      </c>
      <c r="C8" t="s">
        <v>128</v>
      </c>
      <c r="E8" s="83"/>
      <c r="F8" s="84"/>
      <c r="G8" s="83"/>
      <c r="H8" s="84"/>
    </row>
    <row r="9" spans="1:3" ht="12.75">
      <c r="A9" t="s">
        <v>127</v>
      </c>
      <c r="C9" t="s">
        <v>129</v>
      </c>
    </row>
    <row r="11" ht="12.75">
      <c r="A11" s="32" t="s">
        <v>153</v>
      </c>
    </row>
    <row r="12" spans="1:4" ht="12.75">
      <c r="A12" t="s">
        <v>154</v>
      </c>
      <c r="D12" s="162">
        <v>0.6</v>
      </c>
    </row>
    <row r="13" spans="1:5" ht="12.75">
      <c r="A13" t="s">
        <v>155</v>
      </c>
      <c r="D13" s="163">
        <v>8</v>
      </c>
      <c r="E13" t="s">
        <v>156</v>
      </c>
    </row>
    <row r="14" spans="1:7" ht="12.75">
      <c r="A14" t="s">
        <v>159</v>
      </c>
      <c r="D14" s="163">
        <v>6</v>
      </c>
      <c r="E14" t="s">
        <v>157</v>
      </c>
      <c r="F14" s="163">
        <v>0.5</v>
      </c>
      <c r="G14" t="s">
        <v>158</v>
      </c>
    </row>
    <row r="15" spans="1:7" ht="12.75">
      <c r="A15" t="s">
        <v>160</v>
      </c>
      <c r="D15" s="163">
        <v>4</v>
      </c>
      <c r="E15" t="s">
        <v>157</v>
      </c>
      <c r="F15" s="163">
        <f>1-F14</f>
        <v>0.5</v>
      </c>
      <c r="G15" t="s">
        <v>158</v>
      </c>
    </row>
    <row r="18" spans="1:3" ht="13.5" thickBot="1">
      <c r="A18" t="s">
        <v>113</v>
      </c>
      <c r="C18" s="32" t="s">
        <v>134</v>
      </c>
    </row>
    <row r="19" spans="1:9" ht="12.75">
      <c r="A19" s="18"/>
      <c r="B19" s="151"/>
      <c r="C19" s="152" t="s">
        <v>132</v>
      </c>
      <c r="D19" s="135"/>
      <c r="E19" s="151"/>
      <c r="F19" s="152" t="s">
        <v>137</v>
      </c>
      <c r="G19" s="19"/>
      <c r="H19" s="19"/>
      <c r="I19" s="20"/>
    </row>
    <row r="20" spans="1:10" ht="12.75">
      <c r="A20" s="21" t="s">
        <v>63</v>
      </c>
      <c r="B20" s="53" t="s">
        <v>64</v>
      </c>
      <c r="C20" s="5" t="s">
        <v>65</v>
      </c>
      <c r="D20" s="54" t="s">
        <v>133</v>
      </c>
      <c r="E20" s="141" t="s">
        <v>64</v>
      </c>
      <c r="F20" s="77" t="s">
        <v>139</v>
      </c>
      <c r="G20" s="77" t="s">
        <v>141</v>
      </c>
      <c r="H20" s="77" t="s">
        <v>140</v>
      </c>
      <c r="I20" s="153" t="s">
        <v>142</v>
      </c>
      <c r="J20" s="77"/>
    </row>
    <row r="21" spans="1:9" ht="12.75">
      <c r="A21" s="21">
        <v>0</v>
      </c>
      <c r="B21" s="85"/>
      <c r="C21" s="3"/>
      <c r="D21" s="1"/>
      <c r="E21" s="85"/>
      <c r="F21" s="3"/>
      <c r="G21" s="3"/>
      <c r="H21" s="3"/>
      <c r="I21" s="22"/>
    </row>
    <row r="22" spans="1:9" ht="12.75">
      <c r="A22" s="21">
        <f>+A21+1</f>
        <v>1</v>
      </c>
      <c r="B22" s="165">
        <v>-6</v>
      </c>
      <c r="C22" s="166">
        <v>0</v>
      </c>
      <c r="D22" s="167">
        <f aca="true" t="shared" si="0" ref="D22:D29">+B22+C22</f>
        <v>-6</v>
      </c>
      <c r="E22" s="168">
        <v>0</v>
      </c>
      <c r="F22" s="169">
        <v>0</v>
      </c>
      <c r="G22" s="169">
        <v>0</v>
      </c>
      <c r="H22" s="169">
        <v>0</v>
      </c>
      <c r="I22" s="170">
        <v>0</v>
      </c>
    </row>
    <row r="23" spans="1:9" ht="12.75">
      <c r="A23" s="21">
        <f aca="true" t="shared" si="1" ref="A23:A32">+A22+1</f>
        <v>2</v>
      </c>
      <c r="B23" s="165">
        <v>-6</v>
      </c>
      <c r="C23" s="166">
        <v>0</v>
      </c>
      <c r="D23" s="167">
        <f t="shared" si="0"/>
        <v>-6</v>
      </c>
      <c r="E23" s="168">
        <v>0</v>
      </c>
      <c r="F23" s="169">
        <v>0</v>
      </c>
      <c r="G23" s="169">
        <v>0</v>
      </c>
      <c r="H23" s="169">
        <v>0</v>
      </c>
      <c r="I23" s="170">
        <v>0</v>
      </c>
    </row>
    <row r="24" spans="1:9" ht="12.75">
      <c r="A24" s="21">
        <f t="shared" si="1"/>
        <v>3</v>
      </c>
      <c r="B24" s="168">
        <v>0</v>
      </c>
      <c r="C24" s="166">
        <v>1</v>
      </c>
      <c r="D24" s="167">
        <f t="shared" si="0"/>
        <v>1</v>
      </c>
      <c r="E24" s="168">
        <v>0</v>
      </c>
      <c r="F24" s="169">
        <v>0</v>
      </c>
      <c r="G24" s="169">
        <v>0</v>
      </c>
      <c r="H24" s="169">
        <v>0</v>
      </c>
      <c r="I24" s="170">
        <v>0</v>
      </c>
    </row>
    <row r="25" spans="1:9" ht="12.75">
      <c r="A25" s="21">
        <f t="shared" si="1"/>
        <v>4</v>
      </c>
      <c r="B25" s="168">
        <v>0</v>
      </c>
      <c r="C25" s="166">
        <v>2</v>
      </c>
      <c r="D25" s="167">
        <f t="shared" si="0"/>
        <v>2</v>
      </c>
      <c r="E25" s="168">
        <v>0</v>
      </c>
      <c r="F25" s="169">
        <v>0</v>
      </c>
      <c r="G25" s="169">
        <v>0</v>
      </c>
      <c r="H25" s="169">
        <v>0</v>
      </c>
      <c r="I25" s="170">
        <v>0</v>
      </c>
    </row>
    <row r="26" spans="1:9" ht="12.75">
      <c r="A26" s="21">
        <f t="shared" si="1"/>
        <v>5</v>
      </c>
      <c r="B26" s="168">
        <v>0</v>
      </c>
      <c r="C26" s="166">
        <v>4</v>
      </c>
      <c r="D26" s="167">
        <f t="shared" si="0"/>
        <v>4</v>
      </c>
      <c r="E26" s="168">
        <f>-D13</f>
        <v>-8</v>
      </c>
      <c r="F26" s="169">
        <v>0</v>
      </c>
      <c r="G26" s="169">
        <f aca="true" t="shared" si="2" ref="G26:G31">+E26+F26</f>
        <v>-8</v>
      </c>
      <c r="H26" s="169">
        <v>0</v>
      </c>
      <c r="I26" s="170">
        <f aca="true" t="shared" si="3" ref="I26:I31">+E26+H26</f>
        <v>-8</v>
      </c>
    </row>
    <row r="27" spans="1:9" ht="12.75">
      <c r="A27" s="21">
        <f t="shared" si="1"/>
        <v>6</v>
      </c>
      <c r="B27" s="168">
        <v>0</v>
      </c>
      <c r="C27" s="166">
        <v>4</v>
      </c>
      <c r="D27" s="167">
        <f t="shared" si="0"/>
        <v>4</v>
      </c>
      <c r="E27" s="168">
        <v>0</v>
      </c>
      <c r="F27" s="169">
        <f>+$D$14</f>
        <v>6</v>
      </c>
      <c r="G27" s="169">
        <f t="shared" si="2"/>
        <v>6</v>
      </c>
      <c r="H27" s="169">
        <f>+$D$15</f>
        <v>4</v>
      </c>
      <c r="I27" s="170">
        <f t="shared" si="3"/>
        <v>4</v>
      </c>
    </row>
    <row r="28" spans="1:9" ht="12.75">
      <c r="A28" s="21">
        <f t="shared" si="1"/>
        <v>7</v>
      </c>
      <c r="B28" s="168">
        <v>0</v>
      </c>
      <c r="C28" s="166">
        <v>3</v>
      </c>
      <c r="D28" s="167">
        <f t="shared" si="0"/>
        <v>3</v>
      </c>
      <c r="E28" s="168">
        <v>0</v>
      </c>
      <c r="F28" s="169">
        <f>+$D$14</f>
        <v>6</v>
      </c>
      <c r="G28" s="169">
        <f t="shared" si="2"/>
        <v>6</v>
      </c>
      <c r="H28" s="169">
        <f>+$D$15</f>
        <v>4</v>
      </c>
      <c r="I28" s="170">
        <f t="shared" si="3"/>
        <v>4</v>
      </c>
    </row>
    <row r="29" spans="1:9" ht="12.75">
      <c r="A29" s="21">
        <f t="shared" si="1"/>
        <v>8</v>
      </c>
      <c r="B29" s="168">
        <v>0</v>
      </c>
      <c r="C29" s="166">
        <v>1</v>
      </c>
      <c r="D29" s="167">
        <f t="shared" si="0"/>
        <v>1</v>
      </c>
      <c r="E29" s="168">
        <v>0</v>
      </c>
      <c r="F29" s="169">
        <f>+$D$14</f>
        <v>6</v>
      </c>
      <c r="G29" s="169">
        <f t="shared" si="2"/>
        <v>6</v>
      </c>
      <c r="H29" s="169">
        <f>+$D$15</f>
        <v>4</v>
      </c>
      <c r="I29" s="170">
        <f t="shared" si="3"/>
        <v>4</v>
      </c>
    </row>
    <row r="30" spans="1:9" ht="12.75">
      <c r="A30" s="21">
        <f t="shared" si="1"/>
        <v>9</v>
      </c>
      <c r="B30" s="168">
        <v>0</v>
      </c>
      <c r="C30" s="168">
        <v>0</v>
      </c>
      <c r="D30" s="168">
        <v>0</v>
      </c>
      <c r="E30" s="168">
        <v>0</v>
      </c>
      <c r="F30" s="169">
        <f>+$D$14</f>
        <v>6</v>
      </c>
      <c r="G30" s="169">
        <f t="shared" si="2"/>
        <v>6</v>
      </c>
      <c r="H30" s="169">
        <f>+$D$15</f>
        <v>4</v>
      </c>
      <c r="I30" s="170">
        <f t="shared" si="3"/>
        <v>4</v>
      </c>
    </row>
    <row r="31" spans="1:9" ht="12.75">
      <c r="A31" s="21">
        <f t="shared" si="1"/>
        <v>10</v>
      </c>
      <c r="B31" s="168">
        <v>0</v>
      </c>
      <c r="C31" s="168">
        <v>0</v>
      </c>
      <c r="D31" s="168">
        <v>0</v>
      </c>
      <c r="E31" s="168">
        <v>0</v>
      </c>
      <c r="F31" s="169">
        <f>+$D$14</f>
        <v>6</v>
      </c>
      <c r="G31" s="169">
        <f t="shared" si="2"/>
        <v>6</v>
      </c>
      <c r="H31" s="169">
        <f>+$D$15</f>
        <v>4</v>
      </c>
      <c r="I31" s="170">
        <f t="shared" si="3"/>
        <v>4</v>
      </c>
    </row>
    <row r="32" spans="1:9" ht="12.75">
      <c r="A32" s="21">
        <f t="shared" si="1"/>
        <v>11</v>
      </c>
      <c r="B32" s="55"/>
      <c r="C32" s="16"/>
      <c r="D32" s="56"/>
      <c r="E32" s="85"/>
      <c r="F32" s="3"/>
      <c r="G32" s="3"/>
      <c r="H32" s="3"/>
      <c r="I32" s="22"/>
    </row>
    <row r="33" spans="1:9" s="39" customFormat="1" ht="12.75">
      <c r="A33" s="154" t="s">
        <v>81</v>
      </c>
      <c r="B33" s="142">
        <f aca="true" t="shared" si="4" ref="B33:I33">SUM(B22:B32)</f>
        <v>-12</v>
      </c>
      <c r="C33" s="143">
        <f t="shared" si="4"/>
        <v>15</v>
      </c>
      <c r="D33" s="144">
        <f t="shared" si="4"/>
        <v>3</v>
      </c>
      <c r="E33" s="142">
        <f t="shared" si="4"/>
        <v>-8</v>
      </c>
      <c r="F33" s="143">
        <f t="shared" si="4"/>
        <v>30</v>
      </c>
      <c r="G33" s="143">
        <f t="shared" si="4"/>
        <v>22</v>
      </c>
      <c r="H33" s="143">
        <f t="shared" si="4"/>
        <v>20</v>
      </c>
      <c r="I33" s="155">
        <f t="shared" si="4"/>
        <v>12</v>
      </c>
    </row>
    <row r="34" spans="1:9" s="3" customFormat="1" ht="12.75">
      <c r="A34" s="156" t="s">
        <v>136</v>
      </c>
      <c r="B34" s="145">
        <f aca="true" t="shared" si="5" ref="B34:I34">NPV($C$6,B22:B32)</f>
        <v>-9.879963065558632</v>
      </c>
      <c r="C34" s="146">
        <f t="shared" si="5"/>
        <v>7.308423941558212</v>
      </c>
      <c r="D34" s="147">
        <f t="shared" si="5"/>
        <v>-2.5715391240004193</v>
      </c>
      <c r="E34" s="145">
        <f t="shared" si="5"/>
        <v>-4.154949314878523</v>
      </c>
      <c r="F34" s="146">
        <f t="shared" si="5"/>
        <v>10.698208064610712</v>
      </c>
      <c r="G34" s="146">
        <f t="shared" si="5"/>
        <v>6.54325874973219</v>
      </c>
      <c r="H34" s="146">
        <f t="shared" si="5"/>
        <v>7.132138709740475</v>
      </c>
      <c r="I34" s="157">
        <f t="shared" si="5"/>
        <v>2.977189394861952</v>
      </c>
    </row>
    <row r="35" spans="1:9" s="16" customFormat="1" ht="13.5" thickBot="1">
      <c r="A35" s="24" t="s">
        <v>138</v>
      </c>
      <c r="B35" s="158"/>
      <c r="C35" s="159"/>
      <c r="D35" s="160"/>
      <c r="E35" s="161"/>
      <c r="F35" s="25">
        <f>+F14</f>
        <v>0.5</v>
      </c>
      <c r="G35" s="25">
        <f>+F35</f>
        <v>0.5</v>
      </c>
      <c r="H35" s="25">
        <f>+F15</f>
        <v>0.5</v>
      </c>
      <c r="I35" s="26">
        <f>+H35</f>
        <v>0.5</v>
      </c>
    </row>
    <row r="37" ht="12.75">
      <c r="A37" s="140" t="s">
        <v>173</v>
      </c>
    </row>
    <row r="38" ht="12.75">
      <c r="A38" s="140"/>
    </row>
    <row r="39" ht="12.75">
      <c r="A39" s="172" t="s">
        <v>174</v>
      </c>
    </row>
    <row r="41" spans="1:5" ht="12.75">
      <c r="A41" t="s">
        <v>143</v>
      </c>
      <c r="B41" t="s">
        <v>144</v>
      </c>
      <c r="D41" s="171">
        <f>+D34</f>
        <v>-2.5715391240004193</v>
      </c>
      <c r="E41" t="s">
        <v>145</v>
      </c>
    </row>
    <row r="43" spans="1:4" ht="12.75">
      <c r="A43" t="s">
        <v>146</v>
      </c>
      <c r="B43" t="s">
        <v>147</v>
      </c>
      <c r="C43" t="s">
        <v>148</v>
      </c>
      <c r="D43" t="s">
        <v>149</v>
      </c>
    </row>
    <row r="44" spans="2:4" ht="12.75">
      <c r="B44" s="15" t="s">
        <v>164</v>
      </c>
      <c r="C44" s="148">
        <f>+G34</f>
        <v>6.54325874973219</v>
      </c>
      <c r="D44" t="s">
        <v>150</v>
      </c>
    </row>
    <row r="45" spans="2:4" ht="12.75">
      <c r="B45" s="15" t="s">
        <v>165</v>
      </c>
      <c r="C45" s="148">
        <f>+I34</f>
        <v>2.977189394861952</v>
      </c>
      <c r="D45" t="s">
        <v>151</v>
      </c>
    </row>
    <row r="46" spans="2:4" ht="12.75">
      <c r="B46" s="15" t="s">
        <v>166</v>
      </c>
      <c r="C46" s="148">
        <f>+C44*G35+C45*I35</f>
        <v>4.760224072297071</v>
      </c>
      <c r="D46" t="s">
        <v>152</v>
      </c>
    </row>
    <row r="47" spans="2:3" ht="12.75">
      <c r="B47" s="15"/>
      <c r="C47" s="15"/>
    </row>
    <row r="48" spans="2:6" ht="12.75">
      <c r="B48" s="15" t="s">
        <v>167</v>
      </c>
      <c r="C48" t="s">
        <v>161</v>
      </c>
      <c r="E48" s="148">
        <f>+D34</f>
        <v>-2.5715391240004193</v>
      </c>
      <c r="F48" t="s">
        <v>102</v>
      </c>
    </row>
    <row r="49" spans="3:6" ht="12.75">
      <c r="C49" t="s">
        <v>162</v>
      </c>
      <c r="E49" s="148">
        <f>+C46*D12</f>
        <v>2.856134443378242</v>
      </c>
      <c r="F49" t="s">
        <v>102</v>
      </c>
    </row>
    <row r="50" spans="3:6" ht="12.75">
      <c r="C50" s="149" t="s">
        <v>163</v>
      </c>
      <c r="D50" s="149"/>
      <c r="E50" s="150">
        <f>SUM(E48:E49)</f>
        <v>0.2845953193778228</v>
      </c>
      <c r="F50" s="149" t="s">
        <v>102</v>
      </c>
    </row>
    <row r="52" spans="1:7" ht="12.75">
      <c r="A52" t="s">
        <v>168</v>
      </c>
      <c r="B52" t="s">
        <v>169</v>
      </c>
      <c r="F52" s="148">
        <f>+E50</f>
        <v>0.2845953193778228</v>
      </c>
      <c r="G52" t="s">
        <v>102</v>
      </c>
    </row>
    <row r="53" ht="12.75">
      <c r="B53" t="s">
        <v>170</v>
      </c>
    </row>
    <row r="54" ht="12.75">
      <c r="B54" t="s">
        <v>171</v>
      </c>
    </row>
    <row r="55" ht="12.75">
      <c r="B55" t="s">
        <v>172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6">
      <selection activeCell="L9" sqref="L9"/>
    </sheetView>
  </sheetViews>
  <sheetFormatPr defaultColWidth="11.421875" defaultRowHeight="12.75"/>
  <cols>
    <col min="1" max="1" width="6.00390625" style="0" customWidth="1"/>
    <col min="2" max="2" width="9.140625" style="0" customWidth="1"/>
  </cols>
  <sheetData>
    <row r="1" spans="1:2" ht="12.75">
      <c r="A1" s="2" t="s">
        <v>106</v>
      </c>
      <c r="B1" s="2"/>
    </row>
    <row r="3" ht="12.75">
      <c r="A3" t="s">
        <v>95</v>
      </c>
    </row>
    <row r="5" spans="1:5" ht="12.75">
      <c r="A5" t="s">
        <v>96</v>
      </c>
      <c r="D5" s="70">
        <v>30</v>
      </c>
      <c r="E5" t="s">
        <v>97</v>
      </c>
    </row>
    <row r="6" spans="1:5" ht="12.75">
      <c r="A6" t="s">
        <v>99</v>
      </c>
      <c r="D6">
        <v>20</v>
      </c>
      <c r="E6" t="s">
        <v>100</v>
      </c>
    </row>
    <row r="7" spans="1:5" ht="12.75">
      <c r="A7" t="s">
        <v>98</v>
      </c>
      <c r="D7">
        <v>5</v>
      </c>
      <c r="E7" t="s">
        <v>100</v>
      </c>
    </row>
    <row r="8" spans="1:5" ht="12.75">
      <c r="A8" t="s">
        <v>101</v>
      </c>
      <c r="D8">
        <v>120</v>
      </c>
      <c r="E8" t="s">
        <v>102</v>
      </c>
    </row>
    <row r="9" spans="1:7" ht="12.75">
      <c r="A9" t="s">
        <v>79</v>
      </c>
      <c r="D9" s="51">
        <v>0.2</v>
      </c>
      <c r="G9" s="73">
        <f>+P36</f>
        <v>19.17884270041469</v>
      </c>
    </row>
    <row r="10" ht="12.75">
      <c r="D10" s="50"/>
    </row>
    <row r="11" ht="12.75">
      <c r="D11" s="50"/>
    </row>
    <row r="12" spans="1:4" ht="12.75">
      <c r="A12" t="s">
        <v>24</v>
      </c>
      <c r="D12" s="50"/>
    </row>
    <row r="14" spans="1:2" ht="13.5" thickBot="1">
      <c r="A14" s="32" t="s">
        <v>94</v>
      </c>
      <c r="B14" s="32"/>
    </row>
    <row r="15" spans="1:22" s="39" customFormat="1" ht="12.75">
      <c r="A15" s="18"/>
      <c r="B15" s="133"/>
      <c r="C15" s="134" t="s">
        <v>83</v>
      </c>
      <c r="D15" s="19"/>
      <c r="E15" s="19"/>
      <c r="F15" s="135"/>
      <c r="G15" s="136" t="s">
        <v>88</v>
      </c>
      <c r="H15" s="19"/>
      <c r="I15" s="19"/>
      <c r="J15" s="19"/>
      <c r="K15" s="19"/>
      <c r="L15" s="134" t="s">
        <v>89</v>
      </c>
      <c r="M15" s="19"/>
      <c r="N15" s="19"/>
      <c r="O15" s="19"/>
      <c r="P15" s="135"/>
      <c r="Q15" s="19"/>
      <c r="R15" s="19"/>
      <c r="S15" s="19"/>
      <c r="T15" s="19"/>
      <c r="U15" s="19"/>
      <c r="V15" s="20"/>
    </row>
    <row r="16" spans="1:22" s="3" customFormat="1" ht="12.75">
      <c r="A16" s="137" t="s">
        <v>63</v>
      </c>
      <c r="B16" s="67" t="s">
        <v>92</v>
      </c>
      <c r="C16" s="53" t="s">
        <v>84</v>
      </c>
      <c r="D16" s="5" t="s">
        <v>65</v>
      </c>
      <c r="E16" s="5" t="s">
        <v>86</v>
      </c>
      <c r="F16" s="54" t="s">
        <v>87</v>
      </c>
      <c r="G16" s="5" t="s">
        <v>64</v>
      </c>
      <c r="H16" s="5" t="s">
        <v>84</v>
      </c>
      <c r="I16" s="5" t="s">
        <v>65</v>
      </c>
      <c r="J16" s="5" t="s">
        <v>86</v>
      </c>
      <c r="K16" s="5" t="s">
        <v>87</v>
      </c>
      <c r="L16" s="53" t="s">
        <v>64</v>
      </c>
      <c r="M16" s="5" t="s">
        <v>84</v>
      </c>
      <c r="N16" s="5" t="s">
        <v>65</v>
      </c>
      <c r="O16" s="5" t="s">
        <v>86</v>
      </c>
      <c r="P16" s="54" t="s">
        <v>87</v>
      </c>
      <c r="R16" s="77" t="s">
        <v>63</v>
      </c>
      <c r="S16" s="78" t="s">
        <v>103</v>
      </c>
      <c r="T16" s="78" t="s">
        <v>104</v>
      </c>
      <c r="U16" s="78" t="s">
        <v>105</v>
      </c>
      <c r="V16" s="22"/>
    </row>
    <row r="17" spans="1:22" s="16" customFormat="1" ht="12.75">
      <c r="A17" s="138"/>
      <c r="B17" s="68" t="s">
        <v>93</v>
      </c>
      <c r="C17" s="58" t="s">
        <v>85</v>
      </c>
      <c r="D17" s="59"/>
      <c r="E17" s="59"/>
      <c r="F17" s="60"/>
      <c r="H17" s="59" t="s">
        <v>85</v>
      </c>
      <c r="L17" s="55"/>
      <c r="M17" s="59" t="s">
        <v>85</v>
      </c>
      <c r="P17" s="56"/>
      <c r="V17" s="98"/>
    </row>
    <row r="18" spans="1:22" ht="12.75">
      <c r="A18" s="137">
        <v>0</v>
      </c>
      <c r="B18" s="69">
        <f>+D5</f>
        <v>30</v>
      </c>
      <c r="C18" s="61"/>
      <c r="D18" s="62"/>
      <c r="E18" s="62"/>
      <c r="F18" s="63">
        <f>+D18+E18</f>
        <v>0</v>
      </c>
      <c r="G18" s="62">
        <f>-$D$8</f>
        <v>-120</v>
      </c>
      <c r="H18" s="62"/>
      <c r="I18" s="62"/>
      <c r="J18" s="62"/>
      <c r="K18" s="62">
        <f>+G18+I18+J18</f>
        <v>-120</v>
      </c>
      <c r="L18" s="61">
        <f>+G18</f>
        <v>-120</v>
      </c>
      <c r="M18" s="62"/>
      <c r="N18" s="62"/>
      <c r="O18" s="62"/>
      <c r="P18" s="63">
        <f>+L18+N18+O18</f>
        <v>-120</v>
      </c>
      <c r="Q18" s="3"/>
      <c r="R18" s="3">
        <f>+A18</f>
        <v>0</v>
      </c>
      <c r="S18" s="62">
        <f>+F18</f>
        <v>0</v>
      </c>
      <c r="T18" s="62">
        <f>+K18</f>
        <v>-120</v>
      </c>
      <c r="U18" s="62">
        <f>+T18-S18</f>
        <v>-120</v>
      </c>
      <c r="V18" s="22"/>
    </row>
    <row r="19" spans="1:22" ht="12.75">
      <c r="A19" s="137">
        <f aca="true" t="shared" si="0" ref="A19:A33">+A18+1</f>
        <v>1</v>
      </c>
      <c r="B19" s="69">
        <f>+B18</f>
        <v>30</v>
      </c>
      <c r="C19" s="61">
        <v>10</v>
      </c>
      <c r="D19" s="62">
        <f>+C19*$B19</f>
        <v>300</v>
      </c>
      <c r="E19" s="62">
        <f>-$D$6*(C19&gt;0)</f>
        <v>-20</v>
      </c>
      <c r="F19" s="63">
        <f>+D19+E19</f>
        <v>280</v>
      </c>
      <c r="G19" s="62"/>
      <c r="H19" s="62">
        <v>12</v>
      </c>
      <c r="I19" s="62">
        <f>+H19*$B19</f>
        <v>360</v>
      </c>
      <c r="J19" s="62">
        <f>-($D$6+$D$7)*(H19&gt;0)</f>
        <v>-25</v>
      </c>
      <c r="K19" s="62">
        <f aca="true" t="shared" si="1" ref="K19:K33">+G19+I19+J19</f>
        <v>335</v>
      </c>
      <c r="L19" s="61"/>
      <c r="M19" s="62">
        <f>+H19-C19</f>
        <v>2</v>
      </c>
      <c r="N19" s="62">
        <f>+I19-D19</f>
        <v>60</v>
      </c>
      <c r="O19" s="62">
        <f>+J19-E19</f>
        <v>-5</v>
      </c>
      <c r="P19" s="63">
        <f aca="true" t="shared" si="2" ref="P19:P33">+L19+N19+O19</f>
        <v>55</v>
      </c>
      <c r="Q19" s="3"/>
      <c r="R19" s="3">
        <f aca="true" t="shared" si="3" ref="R19:R33">+A19</f>
        <v>1</v>
      </c>
      <c r="S19" s="62">
        <f aca="true" t="shared" si="4" ref="S19:S33">+F19</f>
        <v>280</v>
      </c>
      <c r="T19" s="62">
        <f aca="true" t="shared" si="5" ref="T19:T33">+K19</f>
        <v>335</v>
      </c>
      <c r="U19" s="62">
        <f aca="true" t="shared" si="6" ref="U19:U33">+T19-S19</f>
        <v>55</v>
      </c>
      <c r="V19" s="22"/>
    </row>
    <row r="20" spans="1:22" ht="12.75">
      <c r="A20" s="137">
        <f t="shared" si="0"/>
        <v>2</v>
      </c>
      <c r="B20" s="69">
        <f aca="true" t="shared" si="7" ref="B20:B33">+B19</f>
        <v>30</v>
      </c>
      <c r="C20" s="61">
        <f>+C19</f>
        <v>10</v>
      </c>
      <c r="D20" s="62">
        <f aca="true" t="shared" si="8" ref="D20:D33">+C20*$B20</f>
        <v>300</v>
      </c>
      <c r="E20" s="62">
        <f aca="true" t="shared" si="9" ref="E20:E33">-$D$6*(C20&gt;0)</f>
        <v>-20</v>
      </c>
      <c r="F20" s="63">
        <f aca="true" t="shared" si="10" ref="F20:F33">+D20+E20</f>
        <v>280</v>
      </c>
      <c r="G20" s="62"/>
      <c r="H20" s="62">
        <f>+H19</f>
        <v>12</v>
      </c>
      <c r="I20" s="62">
        <f aca="true" t="shared" si="11" ref="I20:I33">+H20*$B20</f>
        <v>360</v>
      </c>
      <c r="J20" s="62">
        <f aca="true" t="shared" si="12" ref="J20:J33">-($D$6+$D$7)*(H20&gt;0)</f>
        <v>-25</v>
      </c>
      <c r="K20" s="62">
        <f t="shared" si="1"/>
        <v>335</v>
      </c>
      <c r="L20" s="61"/>
      <c r="M20" s="62">
        <f aca="true" t="shared" si="13" ref="M20:M33">+H20-C20</f>
        <v>2</v>
      </c>
      <c r="N20" s="62">
        <f aca="true" t="shared" si="14" ref="N20:N33">+I20-D20</f>
        <v>60</v>
      </c>
      <c r="O20" s="62">
        <f aca="true" t="shared" si="15" ref="O20:O33">+J20-E20</f>
        <v>-5</v>
      </c>
      <c r="P20" s="63">
        <f t="shared" si="2"/>
        <v>55</v>
      </c>
      <c r="Q20" s="3"/>
      <c r="R20" s="3">
        <f t="shared" si="3"/>
        <v>2</v>
      </c>
      <c r="S20" s="62">
        <f t="shared" si="4"/>
        <v>280</v>
      </c>
      <c r="T20" s="62">
        <f t="shared" si="5"/>
        <v>335</v>
      </c>
      <c r="U20" s="62">
        <f t="shared" si="6"/>
        <v>55</v>
      </c>
      <c r="V20" s="22"/>
    </row>
    <row r="21" spans="1:22" ht="12.75">
      <c r="A21" s="137">
        <f t="shared" si="0"/>
        <v>3</v>
      </c>
      <c r="B21" s="69">
        <f t="shared" si="7"/>
        <v>30</v>
      </c>
      <c r="C21" s="61">
        <f>+C20</f>
        <v>10</v>
      </c>
      <c r="D21" s="62">
        <f t="shared" si="8"/>
        <v>300</v>
      </c>
      <c r="E21" s="62">
        <f t="shared" si="9"/>
        <v>-20</v>
      </c>
      <c r="F21" s="63">
        <f t="shared" si="10"/>
        <v>280</v>
      </c>
      <c r="G21" s="62"/>
      <c r="H21" s="62">
        <f>+H20</f>
        <v>12</v>
      </c>
      <c r="I21" s="62">
        <f t="shared" si="11"/>
        <v>360</v>
      </c>
      <c r="J21" s="62">
        <f t="shared" si="12"/>
        <v>-25</v>
      </c>
      <c r="K21" s="62">
        <f t="shared" si="1"/>
        <v>335</v>
      </c>
      <c r="L21" s="61"/>
      <c r="M21" s="62">
        <f t="shared" si="13"/>
        <v>2</v>
      </c>
      <c r="N21" s="62">
        <f t="shared" si="14"/>
        <v>60</v>
      </c>
      <c r="O21" s="62">
        <f t="shared" si="15"/>
        <v>-5</v>
      </c>
      <c r="P21" s="63">
        <f t="shared" si="2"/>
        <v>55</v>
      </c>
      <c r="Q21" s="3"/>
      <c r="R21" s="3">
        <f t="shared" si="3"/>
        <v>3</v>
      </c>
      <c r="S21" s="62">
        <f t="shared" si="4"/>
        <v>280</v>
      </c>
      <c r="T21" s="62">
        <f t="shared" si="5"/>
        <v>335</v>
      </c>
      <c r="U21" s="62">
        <f t="shared" si="6"/>
        <v>55</v>
      </c>
      <c r="V21" s="22"/>
    </row>
    <row r="22" spans="1:22" ht="12.75">
      <c r="A22" s="137">
        <f t="shared" si="0"/>
        <v>4</v>
      </c>
      <c r="B22" s="69">
        <f t="shared" si="7"/>
        <v>30</v>
      </c>
      <c r="C22" s="61">
        <f>+C21</f>
        <v>10</v>
      </c>
      <c r="D22" s="62">
        <f t="shared" si="8"/>
        <v>300</v>
      </c>
      <c r="E22" s="62">
        <f t="shared" si="9"/>
        <v>-20</v>
      </c>
      <c r="F22" s="63">
        <f t="shared" si="10"/>
        <v>280</v>
      </c>
      <c r="G22" s="62"/>
      <c r="H22" s="62">
        <f>+H21</f>
        <v>12</v>
      </c>
      <c r="I22" s="62">
        <f t="shared" si="11"/>
        <v>360</v>
      </c>
      <c r="J22" s="62">
        <f t="shared" si="12"/>
        <v>-25</v>
      </c>
      <c r="K22" s="62">
        <f t="shared" si="1"/>
        <v>335</v>
      </c>
      <c r="L22" s="61"/>
      <c r="M22" s="62">
        <f t="shared" si="13"/>
        <v>2</v>
      </c>
      <c r="N22" s="62">
        <f t="shared" si="14"/>
        <v>60</v>
      </c>
      <c r="O22" s="62">
        <f t="shared" si="15"/>
        <v>-5</v>
      </c>
      <c r="P22" s="63">
        <f t="shared" si="2"/>
        <v>55</v>
      </c>
      <c r="Q22" s="3"/>
      <c r="R22" s="3">
        <f t="shared" si="3"/>
        <v>4</v>
      </c>
      <c r="S22" s="62">
        <f t="shared" si="4"/>
        <v>280</v>
      </c>
      <c r="T22" s="62">
        <f t="shared" si="5"/>
        <v>335</v>
      </c>
      <c r="U22" s="62">
        <f t="shared" si="6"/>
        <v>55</v>
      </c>
      <c r="V22" s="22"/>
    </row>
    <row r="23" spans="1:22" ht="12.75">
      <c r="A23" s="137">
        <f t="shared" si="0"/>
        <v>5</v>
      </c>
      <c r="B23" s="69">
        <f t="shared" si="7"/>
        <v>30</v>
      </c>
      <c r="C23" s="61">
        <f>+C22</f>
        <v>10</v>
      </c>
      <c r="D23" s="62">
        <f t="shared" si="8"/>
        <v>300</v>
      </c>
      <c r="E23" s="62">
        <f t="shared" si="9"/>
        <v>-20</v>
      </c>
      <c r="F23" s="63">
        <f t="shared" si="10"/>
        <v>280</v>
      </c>
      <c r="G23" s="62"/>
      <c r="H23" s="62">
        <f>+H22</f>
        <v>12</v>
      </c>
      <c r="I23" s="62">
        <f t="shared" si="11"/>
        <v>360</v>
      </c>
      <c r="J23" s="62">
        <f t="shared" si="12"/>
        <v>-25</v>
      </c>
      <c r="K23" s="62">
        <f t="shared" si="1"/>
        <v>335</v>
      </c>
      <c r="L23" s="61"/>
      <c r="M23" s="62">
        <f t="shared" si="13"/>
        <v>2</v>
      </c>
      <c r="N23" s="62">
        <f t="shared" si="14"/>
        <v>60</v>
      </c>
      <c r="O23" s="62">
        <f t="shared" si="15"/>
        <v>-5</v>
      </c>
      <c r="P23" s="63">
        <f t="shared" si="2"/>
        <v>55</v>
      </c>
      <c r="Q23" s="3"/>
      <c r="R23" s="3">
        <f t="shared" si="3"/>
        <v>5</v>
      </c>
      <c r="S23" s="62">
        <f t="shared" si="4"/>
        <v>280</v>
      </c>
      <c r="T23" s="62">
        <f t="shared" si="5"/>
        <v>335</v>
      </c>
      <c r="U23" s="62">
        <f t="shared" si="6"/>
        <v>55</v>
      </c>
      <c r="V23" s="22"/>
    </row>
    <row r="24" spans="1:22" ht="12.75">
      <c r="A24" s="137">
        <f t="shared" si="0"/>
        <v>6</v>
      </c>
      <c r="B24" s="69">
        <f t="shared" si="7"/>
        <v>30</v>
      </c>
      <c r="C24" s="61">
        <f>+C23</f>
        <v>10</v>
      </c>
      <c r="D24" s="62">
        <f t="shared" si="8"/>
        <v>300</v>
      </c>
      <c r="E24" s="62">
        <f t="shared" si="9"/>
        <v>-20</v>
      </c>
      <c r="F24" s="63">
        <f t="shared" si="10"/>
        <v>280</v>
      </c>
      <c r="G24" s="62"/>
      <c r="H24" s="62">
        <v>12</v>
      </c>
      <c r="I24" s="62">
        <f t="shared" si="11"/>
        <v>360</v>
      </c>
      <c r="J24" s="62">
        <f t="shared" si="12"/>
        <v>-25</v>
      </c>
      <c r="K24" s="62">
        <f t="shared" si="1"/>
        <v>335</v>
      </c>
      <c r="L24" s="61"/>
      <c r="M24" s="62">
        <f t="shared" si="13"/>
        <v>2</v>
      </c>
      <c r="N24" s="62">
        <f t="shared" si="14"/>
        <v>60</v>
      </c>
      <c r="O24" s="62">
        <f t="shared" si="15"/>
        <v>-5</v>
      </c>
      <c r="P24" s="63">
        <f t="shared" si="2"/>
        <v>55</v>
      </c>
      <c r="Q24" s="3"/>
      <c r="R24" s="3">
        <f t="shared" si="3"/>
        <v>6</v>
      </c>
      <c r="S24" s="62">
        <f t="shared" si="4"/>
        <v>280</v>
      </c>
      <c r="T24" s="62">
        <f t="shared" si="5"/>
        <v>335</v>
      </c>
      <c r="U24" s="62">
        <f t="shared" si="6"/>
        <v>55</v>
      </c>
      <c r="V24" s="22"/>
    </row>
    <row r="25" spans="1:22" ht="12.75">
      <c r="A25" s="137">
        <f t="shared" si="0"/>
        <v>7</v>
      </c>
      <c r="B25" s="69">
        <f t="shared" si="7"/>
        <v>30</v>
      </c>
      <c r="C25" s="61">
        <v>9</v>
      </c>
      <c r="D25" s="62">
        <f t="shared" si="8"/>
        <v>270</v>
      </c>
      <c r="E25" s="62">
        <f t="shared" si="9"/>
        <v>-20</v>
      </c>
      <c r="F25" s="63">
        <f t="shared" si="10"/>
        <v>250</v>
      </c>
      <c r="G25" s="62"/>
      <c r="H25" s="62">
        <v>10</v>
      </c>
      <c r="I25" s="62">
        <f t="shared" si="11"/>
        <v>300</v>
      </c>
      <c r="J25" s="62">
        <f t="shared" si="12"/>
        <v>-25</v>
      </c>
      <c r="K25" s="62">
        <f t="shared" si="1"/>
        <v>275</v>
      </c>
      <c r="L25" s="61"/>
      <c r="M25" s="62">
        <f t="shared" si="13"/>
        <v>1</v>
      </c>
      <c r="N25" s="62">
        <f t="shared" si="14"/>
        <v>30</v>
      </c>
      <c r="O25" s="62">
        <f t="shared" si="15"/>
        <v>-5</v>
      </c>
      <c r="P25" s="63">
        <f t="shared" si="2"/>
        <v>25</v>
      </c>
      <c r="Q25" s="3"/>
      <c r="R25" s="3">
        <f t="shared" si="3"/>
        <v>7</v>
      </c>
      <c r="S25" s="62">
        <f t="shared" si="4"/>
        <v>250</v>
      </c>
      <c r="T25" s="62">
        <f t="shared" si="5"/>
        <v>275</v>
      </c>
      <c r="U25" s="62">
        <f t="shared" si="6"/>
        <v>25</v>
      </c>
      <c r="V25" s="22"/>
    </row>
    <row r="26" spans="1:22" ht="12.75">
      <c r="A26" s="137">
        <f t="shared" si="0"/>
        <v>8</v>
      </c>
      <c r="B26" s="69">
        <f t="shared" si="7"/>
        <v>30</v>
      </c>
      <c r="C26" s="61">
        <v>8</v>
      </c>
      <c r="D26" s="62">
        <f t="shared" si="8"/>
        <v>240</v>
      </c>
      <c r="E26" s="62">
        <f t="shared" si="9"/>
        <v>-20</v>
      </c>
      <c r="F26" s="63">
        <f t="shared" si="10"/>
        <v>220</v>
      </c>
      <c r="G26" s="62"/>
      <c r="H26" s="62">
        <v>7</v>
      </c>
      <c r="I26" s="62">
        <f t="shared" si="11"/>
        <v>210</v>
      </c>
      <c r="J26" s="62">
        <f t="shared" si="12"/>
        <v>-25</v>
      </c>
      <c r="K26" s="62">
        <f t="shared" si="1"/>
        <v>185</v>
      </c>
      <c r="L26" s="61"/>
      <c r="M26" s="62">
        <f t="shared" si="13"/>
        <v>-1</v>
      </c>
      <c r="N26" s="62">
        <f t="shared" si="14"/>
        <v>-30</v>
      </c>
      <c r="O26" s="62">
        <f t="shared" si="15"/>
        <v>-5</v>
      </c>
      <c r="P26" s="63">
        <f t="shared" si="2"/>
        <v>-35</v>
      </c>
      <c r="Q26" s="3"/>
      <c r="R26" s="3">
        <f t="shared" si="3"/>
        <v>8</v>
      </c>
      <c r="S26" s="62">
        <f t="shared" si="4"/>
        <v>220</v>
      </c>
      <c r="T26" s="62">
        <f t="shared" si="5"/>
        <v>185</v>
      </c>
      <c r="U26" s="62">
        <f t="shared" si="6"/>
        <v>-35</v>
      </c>
      <c r="V26" s="22"/>
    </row>
    <row r="27" spans="1:22" ht="12.75">
      <c r="A27" s="137">
        <f t="shared" si="0"/>
        <v>9</v>
      </c>
      <c r="B27" s="69">
        <f t="shared" si="7"/>
        <v>30</v>
      </c>
      <c r="C27" s="61">
        <v>6.5</v>
      </c>
      <c r="D27" s="62">
        <f t="shared" si="8"/>
        <v>195</v>
      </c>
      <c r="E27" s="62">
        <f t="shared" si="9"/>
        <v>-20</v>
      </c>
      <c r="F27" s="63">
        <f t="shared" si="10"/>
        <v>175</v>
      </c>
      <c r="G27" s="62"/>
      <c r="H27" s="62">
        <v>5</v>
      </c>
      <c r="I27" s="62">
        <f t="shared" si="11"/>
        <v>150</v>
      </c>
      <c r="J27" s="62">
        <f t="shared" si="12"/>
        <v>-25</v>
      </c>
      <c r="K27" s="62">
        <f t="shared" si="1"/>
        <v>125</v>
      </c>
      <c r="L27" s="61"/>
      <c r="M27" s="62">
        <f t="shared" si="13"/>
        <v>-1.5</v>
      </c>
      <c r="N27" s="62">
        <f t="shared" si="14"/>
        <v>-45</v>
      </c>
      <c r="O27" s="62">
        <f t="shared" si="15"/>
        <v>-5</v>
      </c>
      <c r="P27" s="63">
        <f t="shared" si="2"/>
        <v>-50</v>
      </c>
      <c r="Q27" s="3"/>
      <c r="R27" s="3">
        <f t="shared" si="3"/>
        <v>9</v>
      </c>
      <c r="S27" s="62">
        <f t="shared" si="4"/>
        <v>175</v>
      </c>
      <c r="T27" s="62">
        <f t="shared" si="5"/>
        <v>125</v>
      </c>
      <c r="U27" s="62">
        <f t="shared" si="6"/>
        <v>-50</v>
      </c>
      <c r="V27" s="22"/>
    </row>
    <row r="28" spans="1:22" ht="12.75">
      <c r="A28" s="137">
        <f t="shared" si="0"/>
        <v>10</v>
      </c>
      <c r="B28" s="69">
        <f t="shared" si="7"/>
        <v>30</v>
      </c>
      <c r="C28" s="61">
        <v>5</v>
      </c>
      <c r="D28" s="62">
        <f t="shared" si="8"/>
        <v>150</v>
      </c>
      <c r="E28" s="62">
        <f t="shared" si="9"/>
        <v>-20</v>
      </c>
      <c r="F28" s="63">
        <f t="shared" si="10"/>
        <v>130</v>
      </c>
      <c r="G28" s="62"/>
      <c r="H28" s="62">
        <v>3</v>
      </c>
      <c r="I28" s="62">
        <f t="shared" si="11"/>
        <v>90</v>
      </c>
      <c r="J28" s="62">
        <f t="shared" si="12"/>
        <v>-25</v>
      </c>
      <c r="K28" s="62">
        <f t="shared" si="1"/>
        <v>65</v>
      </c>
      <c r="L28" s="61"/>
      <c r="M28" s="62">
        <f t="shared" si="13"/>
        <v>-2</v>
      </c>
      <c r="N28" s="62">
        <f t="shared" si="14"/>
        <v>-60</v>
      </c>
      <c r="O28" s="62">
        <f t="shared" si="15"/>
        <v>-5</v>
      </c>
      <c r="P28" s="63">
        <f t="shared" si="2"/>
        <v>-65</v>
      </c>
      <c r="Q28" s="3"/>
      <c r="R28" s="3">
        <f t="shared" si="3"/>
        <v>10</v>
      </c>
      <c r="S28" s="62">
        <f t="shared" si="4"/>
        <v>130</v>
      </c>
      <c r="T28" s="62">
        <f t="shared" si="5"/>
        <v>65</v>
      </c>
      <c r="U28" s="62">
        <f t="shared" si="6"/>
        <v>-65</v>
      </c>
      <c r="V28" s="22"/>
    </row>
    <row r="29" spans="1:22" ht="12.75">
      <c r="A29" s="137">
        <f t="shared" si="0"/>
        <v>11</v>
      </c>
      <c r="B29" s="69">
        <f t="shared" si="7"/>
        <v>30</v>
      </c>
      <c r="C29" s="61">
        <v>4</v>
      </c>
      <c r="D29" s="62">
        <f t="shared" si="8"/>
        <v>120</v>
      </c>
      <c r="E29" s="62">
        <f t="shared" si="9"/>
        <v>-20</v>
      </c>
      <c r="F29" s="63">
        <f t="shared" si="10"/>
        <v>100</v>
      </c>
      <c r="G29" s="62"/>
      <c r="H29" s="62">
        <v>2</v>
      </c>
      <c r="I29" s="62">
        <f t="shared" si="11"/>
        <v>60</v>
      </c>
      <c r="J29" s="62">
        <f t="shared" si="12"/>
        <v>-25</v>
      </c>
      <c r="K29" s="62">
        <f t="shared" si="1"/>
        <v>35</v>
      </c>
      <c r="L29" s="61"/>
      <c r="M29" s="62">
        <f t="shared" si="13"/>
        <v>-2</v>
      </c>
      <c r="N29" s="62">
        <f t="shared" si="14"/>
        <v>-60</v>
      </c>
      <c r="O29" s="62">
        <f t="shared" si="15"/>
        <v>-5</v>
      </c>
      <c r="P29" s="63">
        <f t="shared" si="2"/>
        <v>-65</v>
      </c>
      <c r="Q29" s="3"/>
      <c r="R29" s="3">
        <f t="shared" si="3"/>
        <v>11</v>
      </c>
      <c r="S29" s="62">
        <f t="shared" si="4"/>
        <v>100</v>
      </c>
      <c r="T29" s="62">
        <f t="shared" si="5"/>
        <v>35</v>
      </c>
      <c r="U29" s="62">
        <f t="shared" si="6"/>
        <v>-65</v>
      </c>
      <c r="V29" s="22"/>
    </row>
    <row r="30" spans="1:22" ht="12.75">
      <c r="A30" s="137">
        <f t="shared" si="0"/>
        <v>12</v>
      </c>
      <c r="B30" s="69">
        <f t="shared" si="7"/>
        <v>30</v>
      </c>
      <c r="C30" s="61">
        <v>3</v>
      </c>
      <c r="D30" s="62">
        <f t="shared" si="8"/>
        <v>90</v>
      </c>
      <c r="E30" s="62">
        <f t="shared" si="9"/>
        <v>-20</v>
      </c>
      <c r="F30" s="63">
        <f t="shared" si="10"/>
        <v>70</v>
      </c>
      <c r="G30" s="62"/>
      <c r="H30" s="62">
        <f>+C33</f>
        <v>1</v>
      </c>
      <c r="I30" s="62">
        <f t="shared" si="11"/>
        <v>30</v>
      </c>
      <c r="J30" s="62">
        <f t="shared" si="12"/>
        <v>-25</v>
      </c>
      <c r="K30" s="62">
        <f t="shared" si="1"/>
        <v>5</v>
      </c>
      <c r="L30" s="61"/>
      <c r="M30" s="62">
        <f t="shared" si="13"/>
        <v>-2</v>
      </c>
      <c r="N30" s="62">
        <f t="shared" si="14"/>
        <v>-60</v>
      </c>
      <c r="O30" s="62">
        <f t="shared" si="15"/>
        <v>-5</v>
      </c>
      <c r="P30" s="63">
        <f t="shared" si="2"/>
        <v>-65</v>
      </c>
      <c r="Q30" s="3"/>
      <c r="R30" s="3">
        <f t="shared" si="3"/>
        <v>12</v>
      </c>
      <c r="S30" s="62">
        <f t="shared" si="4"/>
        <v>70</v>
      </c>
      <c r="T30" s="62">
        <f t="shared" si="5"/>
        <v>5</v>
      </c>
      <c r="U30" s="62">
        <f t="shared" si="6"/>
        <v>-65</v>
      </c>
      <c r="V30" s="22"/>
    </row>
    <row r="31" spans="1:22" ht="12.75">
      <c r="A31" s="137">
        <f t="shared" si="0"/>
        <v>13</v>
      </c>
      <c r="B31" s="69">
        <f t="shared" si="7"/>
        <v>30</v>
      </c>
      <c r="C31" s="61">
        <v>2</v>
      </c>
      <c r="D31" s="62">
        <f t="shared" si="8"/>
        <v>60</v>
      </c>
      <c r="E31" s="62">
        <f t="shared" si="9"/>
        <v>-20</v>
      </c>
      <c r="F31" s="63">
        <f t="shared" si="10"/>
        <v>40</v>
      </c>
      <c r="G31" s="62"/>
      <c r="H31" s="62"/>
      <c r="I31" s="62">
        <f t="shared" si="11"/>
        <v>0</v>
      </c>
      <c r="J31" s="62">
        <f t="shared" si="12"/>
        <v>0</v>
      </c>
      <c r="K31" s="62">
        <f t="shared" si="1"/>
        <v>0</v>
      </c>
      <c r="L31" s="61"/>
      <c r="M31" s="62">
        <f t="shared" si="13"/>
        <v>-2</v>
      </c>
      <c r="N31" s="62">
        <f t="shared" si="14"/>
        <v>-60</v>
      </c>
      <c r="O31" s="62">
        <f t="shared" si="15"/>
        <v>20</v>
      </c>
      <c r="P31" s="63">
        <f t="shared" si="2"/>
        <v>-40</v>
      </c>
      <c r="Q31" s="3"/>
      <c r="R31" s="3">
        <f t="shared" si="3"/>
        <v>13</v>
      </c>
      <c r="S31" s="62">
        <f t="shared" si="4"/>
        <v>40</v>
      </c>
      <c r="T31" s="62">
        <f t="shared" si="5"/>
        <v>0</v>
      </c>
      <c r="U31" s="62">
        <f t="shared" si="6"/>
        <v>-40</v>
      </c>
      <c r="V31" s="22"/>
    </row>
    <row r="32" spans="1:22" ht="12.75">
      <c r="A32" s="137">
        <f t="shared" si="0"/>
        <v>14</v>
      </c>
      <c r="B32" s="69">
        <f t="shared" si="7"/>
        <v>30</v>
      </c>
      <c r="C32" s="61">
        <v>1.5</v>
      </c>
      <c r="D32" s="62">
        <f t="shared" si="8"/>
        <v>45</v>
      </c>
      <c r="E32" s="62">
        <f t="shared" si="9"/>
        <v>-20</v>
      </c>
      <c r="F32" s="63">
        <f t="shared" si="10"/>
        <v>25</v>
      </c>
      <c r="G32" s="62"/>
      <c r="H32" s="62"/>
      <c r="I32" s="62">
        <f t="shared" si="11"/>
        <v>0</v>
      </c>
      <c r="J32" s="62">
        <f t="shared" si="12"/>
        <v>0</v>
      </c>
      <c r="K32" s="62">
        <f t="shared" si="1"/>
        <v>0</v>
      </c>
      <c r="L32" s="61"/>
      <c r="M32" s="62">
        <f t="shared" si="13"/>
        <v>-1.5</v>
      </c>
      <c r="N32" s="62">
        <f t="shared" si="14"/>
        <v>-45</v>
      </c>
      <c r="O32" s="62">
        <f t="shared" si="15"/>
        <v>20</v>
      </c>
      <c r="P32" s="63">
        <f t="shared" si="2"/>
        <v>-25</v>
      </c>
      <c r="Q32" s="3"/>
      <c r="R32" s="3">
        <f t="shared" si="3"/>
        <v>14</v>
      </c>
      <c r="S32" s="62">
        <f t="shared" si="4"/>
        <v>25</v>
      </c>
      <c r="T32" s="62">
        <f t="shared" si="5"/>
        <v>0</v>
      </c>
      <c r="U32" s="62">
        <f t="shared" si="6"/>
        <v>-25</v>
      </c>
      <c r="V32" s="22"/>
    </row>
    <row r="33" spans="1:22" ht="12.75">
      <c r="A33" s="137">
        <f t="shared" si="0"/>
        <v>15</v>
      </c>
      <c r="B33" s="69">
        <f t="shared" si="7"/>
        <v>30</v>
      </c>
      <c r="C33" s="61">
        <v>1</v>
      </c>
      <c r="D33" s="62">
        <f t="shared" si="8"/>
        <v>30</v>
      </c>
      <c r="E33" s="62">
        <f t="shared" si="9"/>
        <v>-20</v>
      </c>
      <c r="F33" s="63">
        <f t="shared" si="10"/>
        <v>10</v>
      </c>
      <c r="G33" s="62"/>
      <c r="H33" s="62"/>
      <c r="I33" s="62">
        <f t="shared" si="11"/>
        <v>0</v>
      </c>
      <c r="J33" s="62">
        <f t="shared" si="12"/>
        <v>0</v>
      </c>
      <c r="K33" s="62">
        <f t="shared" si="1"/>
        <v>0</v>
      </c>
      <c r="L33" s="61"/>
      <c r="M33" s="62">
        <f t="shared" si="13"/>
        <v>-1</v>
      </c>
      <c r="N33" s="62">
        <f t="shared" si="14"/>
        <v>-30</v>
      </c>
      <c r="O33" s="62">
        <f t="shared" si="15"/>
        <v>20</v>
      </c>
      <c r="P33" s="63">
        <f t="shared" si="2"/>
        <v>-10</v>
      </c>
      <c r="Q33" s="3"/>
      <c r="R33" s="3">
        <f t="shared" si="3"/>
        <v>15</v>
      </c>
      <c r="S33" s="62">
        <f t="shared" si="4"/>
        <v>10</v>
      </c>
      <c r="T33" s="62">
        <f t="shared" si="5"/>
        <v>0</v>
      </c>
      <c r="U33" s="62">
        <f t="shared" si="6"/>
        <v>-10</v>
      </c>
      <c r="V33" s="22"/>
    </row>
    <row r="34" spans="1:22" ht="12.75">
      <c r="A34" s="137"/>
      <c r="B34" s="67"/>
      <c r="C34" s="61"/>
      <c r="D34" s="62"/>
      <c r="E34" s="62"/>
      <c r="F34" s="63"/>
      <c r="G34" s="62"/>
      <c r="H34" s="62"/>
      <c r="I34" s="62"/>
      <c r="J34" s="62"/>
      <c r="K34" s="62"/>
      <c r="L34" s="48"/>
      <c r="M34" s="41"/>
      <c r="N34" s="41"/>
      <c r="O34" s="41"/>
      <c r="P34" s="49"/>
      <c r="Q34" s="3"/>
      <c r="R34" s="3"/>
      <c r="S34" s="3"/>
      <c r="T34" s="3"/>
      <c r="U34" s="3"/>
      <c r="V34" s="22"/>
    </row>
    <row r="35" spans="1:22" s="39" customFormat="1" ht="12.75">
      <c r="A35" s="94" t="s">
        <v>81</v>
      </c>
      <c r="C35" s="72">
        <f>SUM(C18:C34)</f>
        <v>100</v>
      </c>
      <c r="D35" s="65">
        <f>SUM(D18:D34)</f>
        <v>3000</v>
      </c>
      <c r="E35" s="65">
        <f>SUM(E18:E34)</f>
        <v>-300</v>
      </c>
      <c r="F35" s="65">
        <f>SUM(F18:F34)</f>
        <v>2700</v>
      </c>
      <c r="G35" s="64">
        <f aca="true" t="shared" si="16" ref="G35:P35">SUM(G18:G34)</f>
        <v>-120</v>
      </c>
      <c r="H35" s="74">
        <f t="shared" si="16"/>
        <v>100</v>
      </c>
      <c r="I35" s="65">
        <f t="shared" si="16"/>
        <v>3000</v>
      </c>
      <c r="J35" s="65">
        <f t="shared" si="16"/>
        <v>-300</v>
      </c>
      <c r="K35" s="66">
        <f t="shared" si="16"/>
        <v>2580</v>
      </c>
      <c r="L35" s="64">
        <f t="shared" si="16"/>
        <v>-120</v>
      </c>
      <c r="M35" s="65">
        <f t="shared" si="16"/>
        <v>0</v>
      </c>
      <c r="N35" s="65">
        <f t="shared" si="16"/>
        <v>0</v>
      </c>
      <c r="O35" s="65">
        <f t="shared" si="16"/>
        <v>0</v>
      </c>
      <c r="P35" s="66">
        <f t="shared" si="16"/>
        <v>-120</v>
      </c>
      <c r="R35" s="39" t="s">
        <v>81</v>
      </c>
      <c r="S35" s="65">
        <f>SUM(S18:S34)</f>
        <v>2700</v>
      </c>
      <c r="T35" s="65">
        <f>SUM(T18:T34)</f>
        <v>2580</v>
      </c>
      <c r="U35" s="65">
        <f>SUM(U18:U34)</f>
        <v>-120</v>
      </c>
      <c r="V35" s="99"/>
    </row>
    <row r="36" spans="1:22" s="3" customFormat="1" ht="12.75">
      <c r="A36" s="21" t="s">
        <v>90</v>
      </c>
      <c r="C36" s="71">
        <f aca="true" t="shared" si="17" ref="C36:P36">C18+NPV($D$9,C19:C34)</f>
        <v>40.93813675251194</v>
      </c>
      <c r="D36" s="75">
        <f t="shared" si="17"/>
        <v>1228.1441025753577</v>
      </c>
      <c r="E36" s="75">
        <f t="shared" si="17"/>
        <v>-93.50945284811257</v>
      </c>
      <c r="F36" s="62">
        <f t="shared" si="17"/>
        <v>1134.6346497272455</v>
      </c>
      <c r="G36" s="71">
        <f t="shared" si="17"/>
        <v>-120</v>
      </c>
      <c r="H36" s="75">
        <f t="shared" si="17"/>
        <v>46.15979701931944</v>
      </c>
      <c r="I36" s="75">
        <f t="shared" si="17"/>
        <v>1384.793910579583</v>
      </c>
      <c r="J36" s="75">
        <f t="shared" si="17"/>
        <v>-110.9804181519231</v>
      </c>
      <c r="K36" s="75">
        <f t="shared" si="17"/>
        <v>1153.81349242766</v>
      </c>
      <c r="L36" s="71">
        <f t="shared" si="17"/>
        <v>-120</v>
      </c>
      <c r="M36" s="75">
        <f t="shared" si="17"/>
        <v>5.2216602668075085</v>
      </c>
      <c r="N36" s="75">
        <f t="shared" si="17"/>
        <v>156.64980800422524</v>
      </c>
      <c r="O36" s="75">
        <f t="shared" si="17"/>
        <v>-17.470965303810566</v>
      </c>
      <c r="P36" s="76">
        <f t="shared" si="17"/>
        <v>19.17884270041469</v>
      </c>
      <c r="R36" s="3" t="str">
        <f>"NPV @ "&amp;D9</f>
        <v>NPV @ 0,2</v>
      </c>
      <c r="S36" s="62">
        <f>S18+NPV($D$9,S19:S34)</f>
        <v>1134.6346497272455</v>
      </c>
      <c r="T36" s="62">
        <f>T18+NPV($D$9,T19:T34)</f>
        <v>1153.81349242766</v>
      </c>
      <c r="U36" s="62">
        <f>U18+NPV($D$9,U19:U34)</f>
        <v>19.17884270041469</v>
      </c>
      <c r="V36" s="22"/>
    </row>
    <row r="37" spans="1:22" s="16" customFormat="1" ht="13.5" thickBot="1">
      <c r="A37" s="24" t="s">
        <v>91</v>
      </c>
      <c r="B37" s="25"/>
      <c r="C37" s="109"/>
      <c r="D37" s="110"/>
      <c r="E37" s="110"/>
      <c r="F37" s="110"/>
      <c r="G37" s="109"/>
      <c r="H37" s="110"/>
      <c r="I37" s="110"/>
      <c r="J37" s="110"/>
      <c r="K37" s="112"/>
      <c r="L37" s="109"/>
      <c r="M37" s="110"/>
      <c r="N37" s="110"/>
      <c r="O37" s="110"/>
      <c r="P37" s="139">
        <f>IRR(P18:P33)</f>
        <v>0.08858168216648532</v>
      </c>
      <c r="Q37" s="25"/>
      <c r="R37" s="25"/>
      <c r="S37" s="25"/>
      <c r="T37" s="25"/>
      <c r="U37" s="25"/>
      <c r="V37" s="26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Maastricht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Jarlsby</dc:creator>
  <cp:keywords/>
  <dc:description/>
  <cp:lastModifiedBy>Erik</cp:lastModifiedBy>
  <dcterms:created xsi:type="dcterms:W3CDTF">2005-05-05T19:31:20Z</dcterms:created>
  <dcterms:modified xsi:type="dcterms:W3CDTF">2015-10-07T10:41:04Z</dcterms:modified>
  <cp:category/>
  <cp:version/>
  <cp:contentType/>
  <cp:contentStatus/>
</cp:coreProperties>
</file>